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5D8329D7-40A0-4B34-821D-41A5629E6AA2}" xr6:coauthVersionLast="47" xr6:coauthVersionMax="47" xr10:uidLastSave="{00000000-0000-0000-0000-000000000000}"/>
  <bookViews>
    <workbookView xWindow="-120" yWindow="-120" windowWidth="29040" windowHeight="15840" xr2:uid="{E718802D-74AC-4986-9498-0A574149FAA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7" i="2" l="1"/>
  <c r="D16" i="1" l="1"/>
  <c r="D15" i="1"/>
  <c r="D14" i="1"/>
  <c r="D13" i="1"/>
  <c r="P76" i="2"/>
  <c r="P74" i="2"/>
  <c r="P72" i="2"/>
  <c r="O76" i="2"/>
  <c r="O74" i="2"/>
  <c r="O72" i="2"/>
  <c r="N76" i="2"/>
  <c r="P70" i="2"/>
  <c r="O70" i="2"/>
  <c r="N69" i="2"/>
  <c r="A69" i="2"/>
  <c r="O69" i="2"/>
  <c r="P69" i="2"/>
  <c r="O66" i="2"/>
  <c r="N66" i="2"/>
  <c r="M66" i="2"/>
  <c r="L66" i="2"/>
  <c r="K66" i="2"/>
  <c r="J66" i="2"/>
  <c r="I66" i="2"/>
  <c r="H66" i="2"/>
  <c r="G66" i="2"/>
  <c r="F66" i="2"/>
  <c r="P66" i="2"/>
  <c r="P64" i="2"/>
  <c r="P62" i="2"/>
  <c r="P55" i="2"/>
  <c r="P49" i="2"/>
  <c r="P48" i="2"/>
  <c r="P47" i="2"/>
  <c r="P36" i="2"/>
  <c r="P35" i="2"/>
  <c r="S20" i="2"/>
  <c r="S17" i="2"/>
  <c r="S32" i="2"/>
  <c r="S16" i="2"/>
  <c r="S27" i="2" s="1"/>
  <c r="T20" i="2"/>
  <c r="T17" i="2"/>
  <c r="T32" i="2"/>
  <c r="T16" i="2"/>
  <c r="U20" i="2"/>
  <c r="U17" i="2"/>
  <c r="U32" i="2"/>
  <c r="U16" i="2"/>
  <c r="U27" i="2" s="1"/>
  <c r="V20" i="2"/>
  <c r="V17" i="2"/>
  <c r="V32" i="2"/>
  <c r="V16" i="2"/>
  <c r="W20" i="2"/>
  <c r="W17" i="2"/>
  <c r="W32" i="2"/>
  <c r="W16" i="2"/>
  <c r="W27" i="2" s="1"/>
  <c r="X20" i="2"/>
  <c r="X17" i="2"/>
  <c r="X32" i="2"/>
  <c r="X16" i="2"/>
  <c r="X27" i="2" s="1"/>
  <c r="E22" i="2"/>
  <c r="E18" i="2"/>
  <c r="E15" i="2"/>
  <c r="E14" i="2"/>
  <c r="Y20" i="2"/>
  <c r="Y17" i="2"/>
  <c r="Y32" i="2"/>
  <c r="Y16" i="2"/>
  <c r="Z20" i="2"/>
  <c r="Z17" i="2"/>
  <c r="Z32" i="2"/>
  <c r="Z16" i="2"/>
  <c r="Z27" i="2" s="1"/>
  <c r="J32" i="2"/>
  <c r="B20" i="2"/>
  <c r="B17" i="2"/>
  <c r="B25" i="2"/>
  <c r="B16" i="2"/>
  <c r="B27" i="2" s="1"/>
  <c r="F20" i="2"/>
  <c r="F17" i="2"/>
  <c r="F32" i="2"/>
  <c r="F25" i="2"/>
  <c r="F16" i="2"/>
  <c r="F27" i="2" s="1"/>
  <c r="C20" i="2"/>
  <c r="C17" i="2"/>
  <c r="C25" i="2"/>
  <c r="C16" i="2"/>
  <c r="G20" i="2"/>
  <c r="G17" i="2"/>
  <c r="G32" i="2"/>
  <c r="G25" i="2"/>
  <c r="G16" i="2"/>
  <c r="G27" i="2" s="1"/>
  <c r="I14" i="2"/>
  <c r="L32" i="2"/>
  <c r="H25" i="2"/>
  <c r="D20" i="2"/>
  <c r="D17" i="2"/>
  <c r="D16" i="2"/>
  <c r="H20" i="2"/>
  <c r="H17" i="2"/>
  <c r="H32" i="2"/>
  <c r="H16" i="2"/>
  <c r="I22" i="2"/>
  <c r="I18" i="2"/>
  <c r="I15" i="2"/>
  <c r="M22" i="2"/>
  <c r="M18" i="2"/>
  <c r="M15" i="2"/>
  <c r="M14" i="2"/>
  <c r="AA20" i="2"/>
  <c r="AA17" i="2"/>
  <c r="AA32" i="2"/>
  <c r="AA16" i="2"/>
  <c r="AB32" i="2"/>
  <c r="AB20" i="2"/>
  <c r="AB17" i="2"/>
  <c r="AB16" i="2"/>
  <c r="J20" i="2"/>
  <c r="J17" i="2"/>
  <c r="J16" i="2"/>
  <c r="N20" i="2"/>
  <c r="N17" i="2"/>
  <c r="N32" i="2"/>
  <c r="N16" i="2"/>
  <c r="N27" i="2" s="1"/>
  <c r="K17" i="2"/>
  <c r="E9" i="1"/>
  <c r="E6" i="1"/>
  <c r="E4" i="1"/>
  <c r="E5" i="1" s="1"/>
  <c r="L17" i="2"/>
  <c r="O17" i="2"/>
  <c r="P17" i="2"/>
  <c r="L16" i="2"/>
  <c r="L19" i="2" s="1"/>
  <c r="P32" i="2"/>
  <c r="P16" i="2"/>
  <c r="K20" i="2"/>
  <c r="K32" i="2"/>
  <c r="K16" i="2"/>
  <c r="O32" i="2"/>
  <c r="O20" i="2"/>
  <c r="O16" i="2"/>
  <c r="O27" i="2" s="1"/>
  <c r="B7" i="1"/>
  <c r="T3" i="2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D17" i="1" l="1"/>
  <c r="E17" i="1" s="1"/>
  <c r="E20" i="2"/>
  <c r="M16" i="2"/>
  <c r="M27" i="2" s="1"/>
  <c r="O19" i="2"/>
  <c r="P19" i="2"/>
  <c r="P28" i="2" s="1"/>
  <c r="M17" i="2"/>
  <c r="T19" i="2"/>
  <c r="T28" i="2" s="1"/>
  <c r="Y19" i="2"/>
  <c r="Y21" i="2" s="1"/>
  <c r="Z19" i="2"/>
  <c r="Z28" i="2" s="1"/>
  <c r="M20" i="2"/>
  <c r="E16" i="2"/>
  <c r="E27" i="2" s="1"/>
  <c r="E17" i="2"/>
  <c r="H19" i="2"/>
  <c r="H21" i="2" s="1"/>
  <c r="K19" i="2"/>
  <c r="K21" i="2" s="1"/>
  <c r="C19" i="2"/>
  <c r="C21" i="2" s="1"/>
  <c r="C23" i="2" s="1"/>
  <c r="M32" i="2"/>
  <c r="S19" i="2"/>
  <c r="S28" i="2" s="1"/>
  <c r="T27" i="2"/>
  <c r="U19" i="2"/>
  <c r="U28" i="2" s="1"/>
  <c r="V19" i="2"/>
  <c r="V28" i="2" s="1"/>
  <c r="V27" i="2"/>
  <c r="W19" i="2"/>
  <c r="W28" i="2" s="1"/>
  <c r="X19" i="2"/>
  <c r="Y27" i="2"/>
  <c r="B19" i="2"/>
  <c r="B21" i="2" s="1"/>
  <c r="B30" i="2" s="1"/>
  <c r="F19" i="2"/>
  <c r="F21" i="2" s="1"/>
  <c r="I17" i="2"/>
  <c r="C27" i="2"/>
  <c r="G19" i="2"/>
  <c r="G28" i="2" s="1"/>
  <c r="I20" i="2"/>
  <c r="D19" i="2"/>
  <c r="D28" i="2" s="1"/>
  <c r="D27" i="2"/>
  <c r="H27" i="2"/>
  <c r="I16" i="2"/>
  <c r="I32" i="2"/>
  <c r="AA19" i="2"/>
  <c r="AA21" i="2" s="1"/>
  <c r="AA27" i="2"/>
  <c r="AB19" i="2"/>
  <c r="AB28" i="2" s="1"/>
  <c r="AB27" i="2"/>
  <c r="J19" i="2"/>
  <c r="J21" i="2" s="1"/>
  <c r="J27" i="2"/>
  <c r="N19" i="2"/>
  <c r="N28" i="2" s="1"/>
  <c r="E8" i="1"/>
  <c r="E10" i="1" s="1"/>
  <c r="O21" i="2"/>
  <c r="O30" i="2" s="1"/>
  <c r="L27" i="2"/>
  <c r="L21" i="2"/>
  <c r="L28" i="2"/>
  <c r="P27" i="2"/>
  <c r="K27" i="2"/>
  <c r="E15" i="1" l="1"/>
  <c r="E16" i="1"/>
  <c r="E14" i="1"/>
  <c r="E13" i="1"/>
  <c r="Y28" i="2"/>
  <c r="E19" i="2"/>
  <c r="E21" i="2" s="1"/>
  <c r="J28" i="2"/>
  <c r="P21" i="2"/>
  <c r="P23" i="2" s="1"/>
  <c r="D21" i="2"/>
  <c r="D30" i="2" s="1"/>
  <c r="H28" i="2"/>
  <c r="V21" i="2"/>
  <c r="V30" i="2" s="1"/>
  <c r="M19" i="2"/>
  <c r="M28" i="2" s="1"/>
  <c r="T21" i="2"/>
  <c r="T30" i="2" s="1"/>
  <c r="K28" i="2"/>
  <c r="AA28" i="2"/>
  <c r="C28" i="2"/>
  <c r="S21" i="2"/>
  <c r="S30" i="2" s="1"/>
  <c r="U21" i="2"/>
  <c r="U30" i="2" s="1"/>
  <c r="W21" i="2"/>
  <c r="W23" i="2" s="1"/>
  <c r="X28" i="2"/>
  <c r="X21" i="2"/>
  <c r="Y30" i="2"/>
  <c r="Y23" i="2"/>
  <c r="Z21" i="2"/>
  <c r="Z30" i="2" s="1"/>
  <c r="Z23" i="2"/>
  <c r="B28" i="2"/>
  <c r="B23" i="2"/>
  <c r="B29" i="2" s="1"/>
  <c r="F28" i="2"/>
  <c r="F30" i="2"/>
  <c r="F23" i="2"/>
  <c r="C30" i="2"/>
  <c r="C29" i="2"/>
  <c r="C24" i="2"/>
  <c r="G21" i="2"/>
  <c r="G30" i="2" s="1"/>
  <c r="I19" i="2"/>
  <c r="I27" i="2"/>
  <c r="H30" i="2"/>
  <c r="H23" i="2"/>
  <c r="AA30" i="2"/>
  <c r="AA23" i="2"/>
  <c r="AB21" i="2"/>
  <c r="AB30" i="2" s="1"/>
  <c r="J30" i="2"/>
  <c r="J23" i="2"/>
  <c r="N21" i="2"/>
  <c r="N23" i="2" s="1"/>
  <c r="O23" i="2"/>
  <c r="O28" i="2"/>
  <c r="L30" i="2"/>
  <c r="L23" i="2"/>
  <c r="K30" i="2"/>
  <c r="K23" i="2"/>
  <c r="E28" i="2" l="1"/>
  <c r="M21" i="2"/>
  <c r="M23" i="2" s="1"/>
  <c r="P30" i="2"/>
  <c r="D23" i="2"/>
  <c r="D29" i="2" s="1"/>
  <c r="V23" i="2"/>
  <c r="V24" i="2" s="1"/>
  <c r="T23" i="2"/>
  <c r="T29" i="2" s="1"/>
  <c r="E23" i="2"/>
  <c r="E30" i="2"/>
  <c r="S23" i="2"/>
  <c r="S29" i="2" s="1"/>
  <c r="U23" i="2"/>
  <c r="U29" i="2" s="1"/>
  <c r="W30" i="2"/>
  <c r="W29" i="2"/>
  <c r="W24" i="2"/>
  <c r="X30" i="2"/>
  <c r="X23" i="2"/>
  <c r="Y29" i="2"/>
  <c r="Y24" i="2"/>
  <c r="Z29" i="2"/>
  <c r="Z24" i="2"/>
  <c r="B24" i="2"/>
  <c r="F29" i="2"/>
  <c r="F24" i="2"/>
  <c r="G23" i="2"/>
  <c r="G29" i="2" s="1"/>
  <c r="H29" i="2"/>
  <c r="H24" i="2"/>
  <c r="I28" i="2"/>
  <c r="I21" i="2"/>
  <c r="AA29" i="2"/>
  <c r="AA24" i="2"/>
  <c r="AB23" i="2"/>
  <c r="AB29" i="2" s="1"/>
  <c r="J29" i="2"/>
  <c r="J24" i="2"/>
  <c r="N30" i="2"/>
  <c r="N29" i="2"/>
  <c r="N24" i="2"/>
  <c r="O29" i="2"/>
  <c r="O24" i="2"/>
  <c r="L29" i="2"/>
  <c r="L24" i="2"/>
  <c r="P29" i="2"/>
  <c r="P24" i="2"/>
  <c r="K29" i="2"/>
  <c r="K24" i="2"/>
  <c r="D24" i="2" l="1"/>
  <c r="M30" i="2"/>
  <c r="V29" i="2"/>
  <c r="T24" i="2"/>
  <c r="E29" i="2"/>
  <c r="E24" i="2"/>
  <c r="M24" i="2"/>
  <c r="M29" i="2"/>
  <c r="S24" i="2"/>
  <c r="U24" i="2"/>
  <c r="X29" i="2"/>
  <c r="X24" i="2"/>
  <c r="G24" i="2"/>
  <c r="I23" i="2"/>
  <c r="I30" i="2"/>
  <c r="AB24" i="2"/>
  <c r="I29" i="2" l="1"/>
  <c r="I24" i="2"/>
</calcChain>
</file>

<file path=xl/sharedStrings.xml><?xml version="1.0" encoding="utf-8"?>
<sst xmlns="http://schemas.openxmlformats.org/spreadsheetml/2006/main" count="156" uniqueCount="147">
  <si>
    <t>Revenue</t>
  </si>
  <si>
    <t>COGS</t>
  </si>
  <si>
    <t>Gross profit</t>
  </si>
  <si>
    <t>SG&amp;A</t>
  </si>
  <si>
    <t>R&amp;D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</si>
  <si>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</si>
  <si>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</si>
  <si>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</si>
  <si>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</si>
  <si>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</si>
  <si>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</si>
  <si>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</si>
  <si>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</si>
  <si>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</si>
  <si>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</si>
  <si>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</si>
  <si>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</si>
  <si>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</si>
  <si>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</si>
  <si>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</si>
  <si>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</si>
  <si>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</si>
  <si>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</si>
  <si>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</si>
  <si>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</si>
  <si>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</si>
  <si>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</si>
  <si>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</si>
  <si>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</si>
  <si>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</si>
  <si>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</si>
  <si>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</si>
  <si>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</si>
  <si>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</si>
  <si>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</si>
  <si>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</si>
  <si>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</si>
  <si>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</si>
  <si>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Samsung</t>
  </si>
  <si>
    <t>(005930)</t>
  </si>
  <si>
    <t>KRW</t>
  </si>
  <si>
    <t>USD</t>
  </si>
  <si>
    <t>(KRW)</t>
  </si>
  <si>
    <t>(Billion KRW)</t>
  </si>
  <si>
    <t>(millions KRW)</t>
  </si>
  <si>
    <t>DX</t>
  </si>
  <si>
    <t>MX/Networks</t>
  </si>
  <si>
    <t>MX</t>
  </si>
  <si>
    <t>VD/DA</t>
  </si>
  <si>
    <t>VD</t>
  </si>
  <si>
    <t>DS</t>
  </si>
  <si>
    <t>Memory</t>
  </si>
  <si>
    <t>SDC</t>
  </si>
  <si>
    <t>Harman</t>
  </si>
  <si>
    <t>Net cash</t>
  </si>
  <si>
    <t>A/R</t>
  </si>
  <si>
    <t>Prepaid</t>
  </si>
  <si>
    <t>Inventories</t>
  </si>
  <si>
    <t>OCA</t>
  </si>
  <si>
    <t>Assets held for sale</t>
  </si>
  <si>
    <t>Investments</t>
  </si>
  <si>
    <t>PP&amp;E</t>
  </si>
  <si>
    <t>Goodwill</t>
  </si>
  <si>
    <t>Benefit assets</t>
  </si>
  <si>
    <t>D/T</t>
  </si>
  <si>
    <t>ONCA</t>
  </si>
  <si>
    <t>Assets</t>
  </si>
  <si>
    <t>A/P</t>
  </si>
  <si>
    <t>Advances</t>
  </si>
  <si>
    <t>Wothholdings</t>
  </si>
  <si>
    <t>Accrued expenses</t>
  </si>
  <si>
    <t>Long-term liabilties</t>
  </si>
  <si>
    <t>Provisions</t>
  </si>
  <si>
    <t>OCL</t>
  </si>
  <si>
    <t>Held for sale</t>
  </si>
  <si>
    <t>Liabilties</t>
  </si>
  <si>
    <t>Debentures</t>
  </si>
  <si>
    <t>Benefit liabilties</t>
  </si>
  <si>
    <t>ONCL</t>
  </si>
  <si>
    <t>S/E</t>
  </si>
  <si>
    <t>L+S/E</t>
  </si>
  <si>
    <t>NI TTM</t>
  </si>
  <si>
    <t>BROA</t>
  </si>
  <si>
    <t>Reported NI</t>
  </si>
  <si>
    <t>CapEx</t>
  </si>
  <si>
    <t>CFFO</t>
  </si>
  <si>
    <t>FCF</t>
  </si>
  <si>
    <t>FCF TTM</t>
  </si>
  <si>
    <t xml:space="preserve">Founded </t>
  </si>
  <si>
    <t>IPO</t>
  </si>
  <si>
    <t>Business divisions</t>
  </si>
  <si>
    <t>%Rev</t>
  </si>
  <si>
    <t>SDC, Display Panels products</t>
  </si>
  <si>
    <t>Harman, Car Systems, Audio and Visual products</t>
  </si>
  <si>
    <t>DX (Device Experience), Digital Television, Refrigerators, Smartphones, Communication Systems</t>
  </si>
  <si>
    <t>DS (Device Solution), Memory, Foundry, Large Scale Intergration (LSI)</t>
  </si>
  <si>
    <t>Mobile</t>
  </si>
  <si>
    <t>Display</t>
  </si>
  <si>
    <t>Odyssey OLED</t>
  </si>
  <si>
    <t>ViewFinity UHD/WUHD</t>
  </si>
  <si>
    <t>Smart Monitors</t>
  </si>
  <si>
    <t>Galaxy Z Flip6</t>
  </si>
  <si>
    <t>Laptops</t>
  </si>
  <si>
    <t>Tablet</t>
  </si>
  <si>
    <t>Galaxy Tab S10 Series</t>
  </si>
  <si>
    <t>Galaxy Tab S9 Series</t>
  </si>
  <si>
    <t>Galaxy Tab S9 FE Series</t>
  </si>
  <si>
    <t>Galaxy Tab A9+</t>
  </si>
  <si>
    <t>Galaxy Z Fold6</t>
  </si>
  <si>
    <t>Galaxy Ring</t>
  </si>
  <si>
    <t>Galaxy Watch</t>
  </si>
  <si>
    <t>Galaxy Buds3 Pro</t>
  </si>
  <si>
    <t>Galaxy Book5 Pro 360</t>
  </si>
  <si>
    <t>Galaxy Chromebook Plus</t>
  </si>
  <si>
    <t>Galaxy Book4 Edge 14 &amp; 16</t>
  </si>
  <si>
    <t>Galaxy Book4 Edge 15</t>
  </si>
  <si>
    <t>Galaxy Book4 Ultra</t>
  </si>
  <si>
    <t>Galaxy Book4 Pro 360</t>
  </si>
  <si>
    <t>Products</t>
  </si>
  <si>
    <t>Internal SSDs</t>
  </si>
  <si>
    <t>990 EVO Gen4 NVMe SSD 2TB</t>
  </si>
  <si>
    <t>990 PRO w/ Heatsink Pcle 4.0 NVMe SSD 4TB</t>
  </si>
  <si>
    <t>990 PRO Pcle 4.0 NVMe SSD 1TB</t>
  </si>
  <si>
    <t>990 PRO w/Heatsink Pcle 4.0 NVMe SSD 1TB</t>
  </si>
  <si>
    <t>980 Pcle 3.0 NVMe SSD 1TB</t>
  </si>
  <si>
    <t>980 PRO Pcle 4.0 NVMe SSD 1TB</t>
  </si>
  <si>
    <t>870 EVO SATA 2.5 SSD 1TB</t>
  </si>
  <si>
    <t>870 QVO SATA lll 2.5 SSD 8TB</t>
  </si>
  <si>
    <t>990 EVO Plus Gen4 NVMe SSD 1TB</t>
  </si>
  <si>
    <t>980 PRO w/ Heatsink Pcle 4.0 NVMe SSD 1TB</t>
  </si>
  <si>
    <t>Portable SSD</t>
  </si>
  <si>
    <t>Memory Cards</t>
  </si>
  <si>
    <t>USB Flash Drives</t>
  </si>
  <si>
    <t>Appliances</t>
  </si>
  <si>
    <t>Kitchen</t>
  </si>
  <si>
    <t>Laundry</t>
  </si>
  <si>
    <t>Vacuums</t>
  </si>
  <si>
    <t>Cooling/Heating</t>
  </si>
  <si>
    <t>Bespoke Features</t>
  </si>
  <si>
    <t>Home Audio</t>
  </si>
  <si>
    <t>Q-Series Soundbars</t>
  </si>
  <si>
    <t>Ultra Slim Soundbars</t>
  </si>
  <si>
    <t>All-in One Soundbars</t>
  </si>
  <si>
    <t>Soundbars with Subwoofers</t>
  </si>
  <si>
    <t>Outdoor Soundbars</t>
  </si>
  <si>
    <t>Sound Tower Party Audio</t>
  </si>
  <si>
    <t>Samsung Galaxy S24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</si>
</sst>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\x"/>
    <numFmt numFmtId="166" formatCode="[$-413]d/mmm;@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quotePrefix="1" applyFont="1"/>
    <xf numFmtId="0" fontId="3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165" fontId="0" fillId="0" borderId="0" xfId="0" applyNumberFormat="1"/>
    <xf numFmtId="166" fontId="3" fillId="0" borderId="0" xfId="0" quotePrefix="1" applyNumberFormat="1" applyFont="1" applyAlignment="1">
      <alignment horizontal="right"/>
    </xf>
    <xf numFmtId="166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1" fillId="0" borderId="1" xfId="0" applyFont="1" applyBorder="1" applyAlignment="1">
      <alignment horizontal="right"/>
    </xf>
    <xf numFmtId="3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Border="1"/>
    <xf numFmtId="0" fontId="0" fillId="0" borderId="0" xfId="0" applyFont="1"/>
    <xf numFmtId="0" fontId="0" fillId="0" borderId="0" xfId="0" applyBorder="1"/>
    <xf numFmtId="0" fontId="5" fillId="0" borderId="0" xfId="0" applyFont="1" applyFill="1" applyBorder="1"/>
    <xf numFmtId="0" fontId="5" fillId="0" borderId="1" xfId="0" applyFont="1" applyBorder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28575</xdr:rowOff>
    </xdr:from>
    <xdr:to>
      <xdr:col>16</xdr:col>
      <xdr:colOff>19050</xdr:colOff>
      <xdr:row>89</xdr:row>
      <xdr:rowOff>66675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C5AEBBB-CFDD-27B7-308E-F4BE6F8C45D7}"/>
            </a:ext>
          </a:extLst>
        </xdr:cNvPr>
        <xdr:cNvCxnSpPr/>
      </xdr:nvCxnSpPr>
      <xdr:spPr>
        <a:xfrm>
          <a:off x="10648950" y="28575"/>
          <a:ext cx="0" cy="14668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38100</xdr:colOff>
      <xdr:row>0</xdr:row>
      <xdr:rowOff>66675</xdr:rowOff>
    </xdr:from>
    <xdr:to>
      <xdr:col>28</xdr:col>
      <xdr:colOff>38100</xdr:colOff>
      <xdr:row>43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4270B08-34E0-4634-A489-E8F5F832214F}"/>
            </a:ext>
          </a:extLst>
        </xdr:cNvPr>
        <xdr:cNvCxnSpPr/>
      </xdr:nvCxnSpPr>
      <xdr:spPr>
        <a:xfrm>
          <a:off x="17983200" y="66675"/>
          <a:ext cx="0" cy="5514975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509D-FA43-438A-932D-37BA93365898}">
  <dimension ref="A1:M78"/>
  <sheetViews>
    <sheetView tabSelected="1" workbookViewId="0">
      <selection activeCell="M5" sqref="M5"/>
    </sheetView>
  </sheetViews>
  <sheetFormatPr defaultRowHeight="12.75" x14ac:dyDescent="0.2"/>
  <cols>
    <col min="1" max="1" width="10.7109375" customWidth="1"/>
    <col min="2" max="2" width="11.7109375" customWidth="1"/>
    <col min="3" max="3" width="83.28515625" bestFit="1" customWidth="1"/>
    <col min="4" max="4" width="12.140625" bestFit="1" customWidth="1"/>
    <col min="5" max="5" width="11.140625" bestFit="1" customWidth="1"/>
    <col min="8" max="8" width="11.140625" bestFit="1" customWidth="1"/>
    <col min="12" max="12" width="6.85546875" bestFit="1" customWidth="1"/>
    <col min="13" max="13" width="11.140625" bestFit="1" customWidth="1"/>
  </cols>
  <sheetData>
    <row r="1" spans="1:13" ht="30" x14ac:dyDescent="0.4">
      <c r="A1" s="5" t="s">
        <v>38</v>
      </c>
    </row>
    <row r="2" spans="1:13" x14ac:dyDescent="0.2">
      <c r="A2" s="6" t="s">
        <v>39</v>
      </c>
      <c r="D2" s="7" t="s">
        <v>44</v>
      </c>
    </row>
    <row r="3" spans="1:13" x14ac:dyDescent="0.2">
      <c r="A3" s="7" t="s">
        <v>42</v>
      </c>
      <c r="D3" t="s">
        <v>33</v>
      </c>
      <c r="E3" s="4">
        <v>54200</v>
      </c>
      <c r="G3" t="s">
        <v>88</v>
      </c>
      <c r="H3">
        <v>1969</v>
      </c>
    </row>
    <row r="4" spans="1:13" x14ac:dyDescent="0.2">
      <c r="D4" t="s">
        <v>11</v>
      </c>
      <c r="E4" s="1">
        <f>5969.78255+822.8867</f>
        <v>6792.6692499999999</v>
      </c>
      <c r="G4" t="s">
        <v>89</v>
      </c>
      <c r="H4">
        <v>1975</v>
      </c>
    </row>
    <row r="5" spans="1:13" x14ac:dyDescent="0.2">
      <c r="A5" t="s">
        <v>40</v>
      </c>
      <c r="B5" t="s">
        <v>41</v>
      </c>
      <c r="D5" t="s">
        <v>34</v>
      </c>
      <c r="E5" s="1">
        <f>+E4*E3</f>
        <v>368162673.35000002</v>
      </c>
    </row>
    <row r="6" spans="1:13" x14ac:dyDescent="0.2">
      <c r="A6" s="4">
        <v>1</v>
      </c>
      <c r="B6">
        <v>7.2000000000000005E-4</v>
      </c>
      <c r="D6" t="s">
        <v>35</v>
      </c>
      <c r="E6" s="1">
        <f>103776500+31914600</f>
        <v>135691100</v>
      </c>
    </row>
    <row r="7" spans="1:13" x14ac:dyDescent="0.2">
      <c r="A7" s="4">
        <v>55500</v>
      </c>
      <c r="B7" s="9">
        <f>+A7*B6</f>
        <v>39.96</v>
      </c>
      <c r="D7" t="s">
        <v>36</v>
      </c>
      <c r="E7" s="1">
        <v>16931900</v>
      </c>
    </row>
    <row r="8" spans="1:13" x14ac:dyDescent="0.2">
      <c r="D8" t="s">
        <v>37</v>
      </c>
      <c r="E8" s="1">
        <f>+E5-E6+E7</f>
        <v>249403473.35000002</v>
      </c>
    </row>
    <row r="9" spans="1:13" x14ac:dyDescent="0.2">
      <c r="E9" s="1">
        <f>9750000*4</f>
        <v>39000000</v>
      </c>
    </row>
    <row r="10" spans="1:13" x14ac:dyDescent="0.2">
      <c r="E10" s="12">
        <f>+E8/E9</f>
        <v>6.3949608551282058</v>
      </c>
    </row>
    <row r="12" spans="1:13" x14ac:dyDescent="0.2">
      <c r="C12" s="36" t="s">
        <v>90</v>
      </c>
      <c r="D12" s="28" t="s">
        <v>0</v>
      </c>
      <c r="E12" s="28" t="s">
        <v>91</v>
      </c>
    </row>
    <row r="13" spans="1:13" x14ac:dyDescent="0.2">
      <c r="C13" s="22" t="s">
        <v>94</v>
      </c>
      <c r="D13" s="25">
        <f>+Model!P4</f>
        <v>44990</v>
      </c>
      <c r="E13" s="30">
        <f>+D13/$D$17</f>
        <v>0.52442009558223568</v>
      </c>
    </row>
    <row r="14" spans="1:13" x14ac:dyDescent="0.2">
      <c r="C14" s="23" t="s">
        <v>95</v>
      </c>
      <c r="D14" s="26">
        <f>+Model!P9</f>
        <v>29270</v>
      </c>
      <c r="E14" s="31">
        <f>+D14/$D$17</f>
        <v>0.34118195593892064</v>
      </c>
      <c r="M14" s="1"/>
    </row>
    <row r="15" spans="1:13" x14ac:dyDescent="0.2">
      <c r="C15" s="23" t="s">
        <v>92</v>
      </c>
      <c r="D15" s="26">
        <f>+Model!P11</f>
        <v>8000</v>
      </c>
      <c r="E15" s="31">
        <f>+D15/$D$17</f>
        <v>9.3250961650542016E-2</v>
      </c>
    </row>
    <row r="16" spans="1:13" x14ac:dyDescent="0.2">
      <c r="C16" s="24" t="s">
        <v>93</v>
      </c>
      <c r="D16" s="27">
        <f>+Model!P12</f>
        <v>3530</v>
      </c>
      <c r="E16" s="31">
        <f>+D16/$D$17</f>
        <v>4.1146986828301667E-2</v>
      </c>
    </row>
    <row r="17" spans="3:5" x14ac:dyDescent="0.2">
      <c r="C17" s="34"/>
      <c r="D17" s="29">
        <f>+SUM(D13:D16)</f>
        <v>85790</v>
      </c>
      <c r="E17" s="32">
        <f>+D17/$D$17</f>
        <v>1</v>
      </c>
    </row>
    <row r="19" spans="3:5" x14ac:dyDescent="0.2">
      <c r="C19" s="35" t="s">
        <v>118</v>
      </c>
    </row>
    <row r="20" spans="3:5" x14ac:dyDescent="0.2">
      <c r="C20" s="21" t="s">
        <v>96</v>
      </c>
    </row>
    <row r="21" spans="3:5" x14ac:dyDescent="0.2">
      <c r="C21" t="s">
        <v>146</v>
      </c>
    </row>
    <row r="22" spans="3:5" x14ac:dyDescent="0.2">
      <c r="C22" t="s">
        <v>108</v>
      </c>
    </row>
    <row r="23" spans="3:5" x14ac:dyDescent="0.2">
      <c r="C23" t="s">
        <v>101</v>
      </c>
    </row>
    <row r="25" spans="3:5" x14ac:dyDescent="0.2">
      <c r="C25" s="21" t="s">
        <v>103</v>
      </c>
    </row>
    <row r="26" spans="3:5" x14ac:dyDescent="0.2">
      <c r="C26" t="s">
        <v>104</v>
      </c>
    </row>
    <row r="27" spans="3:5" x14ac:dyDescent="0.2">
      <c r="C27" t="s">
        <v>105</v>
      </c>
    </row>
    <row r="28" spans="3:5" x14ac:dyDescent="0.2">
      <c r="C28" t="s">
        <v>106</v>
      </c>
    </row>
    <row r="29" spans="3:5" x14ac:dyDescent="0.2">
      <c r="C29" t="s">
        <v>107</v>
      </c>
    </row>
    <row r="31" spans="3:5" x14ac:dyDescent="0.2">
      <c r="C31" s="21" t="s">
        <v>102</v>
      </c>
    </row>
    <row r="32" spans="3:5" x14ac:dyDescent="0.2">
      <c r="C32" t="s">
        <v>112</v>
      </c>
    </row>
    <row r="33" spans="3:3" x14ac:dyDescent="0.2">
      <c r="C33" t="s">
        <v>113</v>
      </c>
    </row>
    <row r="34" spans="3:3" x14ac:dyDescent="0.2">
      <c r="C34" t="s">
        <v>114</v>
      </c>
    </row>
    <row r="35" spans="3:3" x14ac:dyDescent="0.2">
      <c r="C35" t="s">
        <v>115</v>
      </c>
    </row>
    <row r="36" spans="3:3" x14ac:dyDescent="0.2">
      <c r="C36" t="s">
        <v>116</v>
      </c>
    </row>
    <row r="37" spans="3:3" x14ac:dyDescent="0.2">
      <c r="C37" t="s">
        <v>117</v>
      </c>
    </row>
    <row r="39" spans="3:3" x14ac:dyDescent="0.2">
      <c r="C39" s="21" t="s">
        <v>97</v>
      </c>
    </row>
    <row r="40" spans="3:3" x14ac:dyDescent="0.2">
      <c r="C40" t="s">
        <v>98</v>
      </c>
    </row>
    <row r="41" spans="3:3" x14ac:dyDescent="0.2">
      <c r="C41" t="s">
        <v>99</v>
      </c>
    </row>
    <row r="42" spans="3:3" x14ac:dyDescent="0.2">
      <c r="C42" t="s">
        <v>100</v>
      </c>
    </row>
    <row r="44" spans="3:3" x14ac:dyDescent="0.2">
      <c r="C44" s="33" t="s">
        <v>109</v>
      </c>
    </row>
    <row r="45" spans="3:3" x14ac:dyDescent="0.2">
      <c r="C45" s="33" t="s">
        <v>110</v>
      </c>
    </row>
    <row r="46" spans="3:3" x14ac:dyDescent="0.2">
      <c r="C46" s="33" t="s">
        <v>111</v>
      </c>
    </row>
    <row r="48" spans="3:3" x14ac:dyDescent="0.2">
      <c r="C48" s="21" t="s">
        <v>51</v>
      </c>
    </row>
    <row r="49" spans="3:3" x14ac:dyDescent="0.2">
      <c r="C49" s="7" t="s">
        <v>119</v>
      </c>
    </row>
    <row r="50" spans="3:3" x14ac:dyDescent="0.2">
      <c r="C50" t="s">
        <v>120</v>
      </c>
    </row>
    <row r="51" spans="3:3" x14ac:dyDescent="0.2">
      <c r="C51" t="s">
        <v>121</v>
      </c>
    </row>
    <row r="52" spans="3:3" x14ac:dyDescent="0.2">
      <c r="C52" t="s">
        <v>122</v>
      </c>
    </row>
    <row r="53" spans="3:3" x14ac:dyDescent="0.2">
      <c r="C53" t="s">
        <v>123</v>
      </c>
    </row>
    <row r="54" spans="3:3" x14ac:dyDescent="0.2">
      <c r="C54" t="s">
        <v>124</v>
      </c>
    </row>
    <row r="55" spans="3:3" x14ac:dyDescent="0.2">
      <c r="C55" t="s">
        <v>125</v>
      </c>
    </row>
    <row r="56" spans="3:3" x14ac:dyDescent="0.2">
      <c r="C56" t="s">
        <v>126</v>
      </c>
    </row>
    <row r="57" spans="3:3" x14ac:dyDescent="0.2">
      <c r="C57" t="s">
        <v>127</v>
      </c>
    </row>
    <row r="58" spans="3:3" x14ac:dyDescent="0.2">
      <c r="C58" t="s">
        <v>128</v>
      </c>
    </row>
    <row r="59" spans="3:3" x14ac:dyDescent="0.2">
      <c r="C59" t="s">
        <v>129</v>
      </c>
    </row>
    <row r="60" spans="3:3" x14ac:dyDescent="0.2">
      <c r="C60" s="7" t="s">
        <v>130</v>
      </c>
    </row>
    <row r="61" spans="3:3" x14ac:dyDescent="0.2">
      <c r="C61" s="7" t="s">
        <v>131</v>
      </c>
    </row>
    <row r="62" spans="3:3" x14ac:dyDescent="0.2">
      <c r="C62" s="7" t="s">
        <v>132</v>
      </c>
    </row>
    <row r="64" spans="3:3" x14ac:dyDescent="0.2">
      <c r="C64" s="21" t="s">
        <v>139</v>
      </c>
    </row>
    <row r="65" spans="3:3" x14ac:dyDescent="0.2">
      <c r="C65" s="33" t="s">
        <v>140</v>
      </c>
    </row>
    <row r="66" spans="3:3" x14ac:dyDescent="0.2">
      <c r="C66" s="33" t="s">
        <v>141</v>
      </c>
    </row>
    <row r="67" spans="3:3" x14ac:dyDescent="0.2">
      <c r="C67" s="33" t="s">
        <v>142</v>
      </c>
    </row>
    <row r="68" spans="3:3" x14ac:dyDescent="0.2">
      <c r="C68" s="33" t="s">
        <v>143</v>
      </c>
    </row>
    <row r="69" spans="3:3" x14ac:dyDescent="0.2">
      <c r="C69" s="33" t="s">
        <v>144</v>
      </c>
    </row>
    <row r="70" spans="3:3" x14ac:dyDescent="0.2">
      <c r="C70" s="33" t="s">
        <v>145</v>
      </c>
    </row>
    <row r="71" spans="3:3" x14ac:dyDescent="0.2">
      <c r="C71" s="33"/>
    </row>
    <row r="72" spans="3:3" x14ac:dyDescent="0.2">
      <c r="C72" s="33"/>
    </row>
    <row r="73" spans="3:3" x14ac:dyDescent="0.2">
      <c r="C73" s="21" t="s">
        <v>133</v>
      </c>
    </row>
    <row r="74" spans="3:3" x14ac:dyDescent="0.2">
      <c r="C74" s="7" t="s">
        <v>138</v>
      </c>
    </row>
    <row r="75" spans="3:3" x14ac:dyDescent="0.2">
      <c r="C75" s="7" t="s">
        <v>134</v>
      </c>
    </row>
    <row r="76" spans="3:3" x14ac:dyDescent="0.2">
      <c r="C76" s="7" t="s">
        <v>135</v>
      </c>
    </row>
    <row r="77" spans="3:3" x14ac:dyDescent="0.2">
      <c r="C77" s="7" t="s">
        <v>136</v>
      </c>
    </row>
    <row r="78" spans="3:3" x14ac:dyDescent="0.2">
      <c r="C78" s="7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779B-C825-42AE-B3B5-99DB16E36E1A}">
  <dimension ref="A1:AM77"/>
  <sheetViews>
    <sheetView workbookViewId="0">
      <pane xSplit="1" ySplit="3" topLeftCell="B22" activePane="bottomRight" state="frozen"/>
      <selection pane="topRight" activeCell="B1" sqref="B1"/>
      <selection pane="bottomLeft" activeCell="A3" sqref="A3"/>
      <selection pane="bottomRight" activeCell="P42" sqref="P42"/>
    </sheetView>
  </sheetViews>
  <sheetFormatPr defaultRowHeight="12.75" x14ac:dyDescent="0.2"/>
  <cols>
    <col min="1" max="1" width="21.28515625" style="1" bestFit="1" customWidth="1"/>
    <col min="2" max="14" width="9.140625" style="1"/>
    <col min="15" max="15" width="10.140625" style="1" bestFit="1" customWidth="1"/>
    <col min="16" max="16384" width="9.140625" style="1"/>
  </cols>
  <sheetData>
    <row r="1" spans="1:39" ht="30" x14ac:dyDescent="0.4">
      <c r="A1" s="5" t="s">
        <v>38</v>
      </c>
    </row>
    <row r="2" spans="1:39" s="14" customFormat="1" x14ac:dyDescent="0.2">
      <c r="A2" s="13" t="s">
        <v>39</v>
      </c>
      <c r="B2" s="14">
        <v>45382</v>
      </c>
      <c r="C2" s="14">
        <v>45473</v>
      </c>
      <c r="D2" s="14">
        <v>45565</v>
      </c>
      <c r="E2" s="14">
        <v>45657</v>
      </c>
      <c r="F2" s="14">
        <v>45382</v>
      </c>
      <c r="G2" s="14">
        <v>45473</v>
      </c>
      <c r="H2" s="14">
        <v>45565</v>
      </c>
      <c r="I2" s="14">
        <v>45657</v>
      </c>
      <c r="J2" s="14">
        <v>45382</v>
      </c>
      <c r="K2" s="14">
        <v>45473</v>
      </c>
      <c r="L2" s="14">
        <v>45565</v>
      </c>
      <c r="M2" s="14">
        <v>45657</v>
      </c>
      <c r="N2" s="14">
        <v>45382</v>
      </c>
      <c r="O2" s="14">
        <v>45473</v>
      </c>
      <c r="P2" s="14">
        <v>45565</v>
      </c>
      <c r="Q2" s="14">
        <v>45657</v>
      </c>
    </row>
    <row r="3" spans="1:39" x14ac:dyDescent="0.2">
      <c r="A3" s="8" t="s">
        <v>43</v>
      </c>
      <c r="B3" s="2" t="s">
        <v>17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18</v>
      </c>
      <c r="H3" s="2" t="s">
        <v>19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S3">
        <v>2014</v>
      </c>
      <c r="T3">
        <f>+S3+1</f>
        <v>2015</v>
      </c>
      <c r="U3">
        <f t="shared" ref="U3:AM3" si="0">+T3+1</f>
        <v>2016</v>
      </c>
      <c r="V3">
        <f t="shared" si="0"/>
        <v>2017</v>
      </c>
      <c r="W3">
        <f t="shared" si="0"/>
        <v>2018</v>
      </c>
      <c r="X3">
        <f t="shared" si="0"/>
        <v>2019</v>
      </c>
      <c r="Y3">
        <f t="shared" si="0"/>
        <v>2020</v>
      </c>
      <c r="Z3">
        <f t="shared" si="0"/>
        <v>2021</v>
      </c>
      <c r="AA3">
        <f t="shared" si="0"/>
        <v>2022</v>
      </c>
      <c r="AB3">
        <f t="shared" si="0"/>
        <v>2023</v>
      </c>
      <c r="AC3">
        <f t="shared" si="0"/>
        <v>2024</v>
      </c>
      <c r="AD3">
        <f t="shared" si="0"/>
        <v>2025</v>
      </c>
      <c r="AE3">
        <f t="shared" si="0"/>
        <v>2026</v>
      </c>
      <c r="AF3">
        <f t="shared" si="0"/>
        <v>2027</v>
      </c>
      <c r="AG3">
        <f t="shared" si="0"/>
        <v>2028</v>
      </c>
      <c r="AH3">
        <f t="shared" si="0"/>
        <v>2029</v>
      </c>
      <c r="AI3">
        <f t="shared" si="0"/>
        <v>2030</v>
      </c>
      <c r="AJ3">
        <f t="shared" si="0"/>
        <v>2031</v>
      </c>
      <c r="AK3">
        <f t="shared" si="0"/>
        <v>2032</v>
      </c>
      <c r="AL3">
        <f t="shared" si="0"/>
        <v>2033</v>
      </c>
      <c r="AM3">
        <f t="shared" si="0"/>
        <v>2034</v>
      </c>
    </row>
    <row r="4" spans="1:39" x14ac:dyDescent="0.2">
      <c r="A4" s="16" t="s">
        <v>45</v>
      </c>
      <c r="B4" s="2">
        <v>42480</v>
      </c>
      <c r="C4" s="2">
        <v>36400</v>
      </c>
      <c r="D4" s="2">
        <v>42810</v>
      </c>
      <c r="E4" s="2">
        <v>44570</v>
      </c>
      <c r="F4" s="2">
        <v>48070</v>
      </c>
      <c r="G4" s="2">
        <v>44460</v>
      </c>
      <c r="H4" s="2">
        <v>47260</v>
      </c>
      <c r="I4" s="2">
        <v>42710</v>
      </c>
      <c r="J4" s="2">
        <v>46220</v>
      </c>
      <c r="K4" s="2">
        <v>40210</v>
      </c>
      <c r="L4" s="2">
        <v>44020</v>
      </c>
      <c r="M4" s="1">
        <v>39550</v>
      </c>
      <c r="N4" s="2">
        <v>47290</v>
      </c>
      <c r="O4" s="2">
        <v>42070</v>
      </c>
      <c r="P4" s="2">
        <v>44990</v>
      </c>
      <c r="Q4" s="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">
      <c r="A5" s="17" t="s">
        <v>46</v>
      </c>
      <c r="B5" s="1">
        <v>29210</v>
      </c>
      <c r="C5" s="2">
        <v>22670</v>
      </c>
      <c r="D5" s="1">
        <v>28420</v>
      </c>
      <c r="E5" s="2">
        <v>28950</v>
      </c>
      <c r="F5" s="2">
        <v>32370</v>
      </c>
      <c r="G5" s="2">
        <v>29340</v>
      </c>
      <c r="H5" s="1">
        <v>32210</v>
      </c>
      <c r="I5" s="2">
        <v>26900</v>
      </c>
      <c r="J5" s="2">
        <v>31820</v>
      </c>
      <c r="K5" s="2">
        <v>25550</v>
      </c>
      <c r="L5" s="2">
        <v>30000</v>
      </c>
      <c r="M5" s="2">
        <v>25040</v>
      </c>
      <c r="N5" s="2">
        <v>33530</v>
      </c>
      <c r="O5" s="2">
        <v>27380</v>
      </c>
      <c r="P5" s="2">
        <v>30520</v>
      </c>
      <c r="Q5" s="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s="11" customFormat="1" x14ac:dyDescent="0.2">
      <c r="A6" s="19" t="s">
        <v>47</v>
      </c>
      <c r="B6" s="20">
        <v>28200</v>
      </c>
      <c r="C6" s="20">
        <v>21430</v>
      </c>
      <c r="D6" s="20">
        <v>27340</v>
      </c>
      <c r="E6" s="20">
        <v>27700</v>
      </c>
      <c r="F6" s="20">
        <v>31230</v>
      </c>
      <c r="G6" s="20">
        <v>28000</v>
      </c>
      <c r="H6" s="20">
        <v>30920</v>
      </c>
      <c r="I6" s="20">
        <v>25280</v>
      </c>
      <c r="J6" s="20">
        <v>30740</v>
      </c>
      <c r="K6" s="20">
        <v>24610</v>
      </c>
      <c r="L6" s="20">
        <v>29250</v>
      </c>
      <c r="M6" s="20">
        <v>24030</v>
      </c>
      <c r="N6" s="20">
        <v>32790</v>
      </c>
      <c r="O6" s="20">
        <v>26640</v>
      </c>
      <c r="P6" s="20">
        <v>29980</v>
      </c>
      <c r="Q6" s="20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</row>
    <row r="7" spans="1:39" x14ac:dyDescent="0.2">
      <c r="A7" s="17" t="s">
        <v>48</v>
      </c>
      <c r="B7" s="2">
        <v>12990</v>
      </c>
      <c r="C7" s="2">
        <v>13400</v>
      </c>
      <c r="D7" s="2">
        <v>14100</v>
      </c>
      <c r="E7" s="2">
        <v>15350</v>
      </c>
      <c r="F7" s="2">
        <v>15470</v>
      </c>
      <c r="G7" s="2">
        <v>14830</v>
      </c>
      <c r="H7" s="2">
        <v>14750</v>
      </c>
      <c r="I7" s="2">
        <v>15580</v>
      </c>
      <c r="J7" s="2">
        <v>14080</v>
      </c>
      <c r="K7" s="2">
        <v>14390</v>
      </c>
      <c r="L7" s="2">
        <v>13710</v>
      </c>
      <c r="M7" s="2">
        <v>14260</v>
      </c>
      <c r="N7" s="2">
        <v>13480</v>
      </c>
      <c r="O7" s="2">
        <v>14420</v>
      </c>
      <c r="P7" s="2">
        <v>14140</v>
      </c>
      <c r="Q7" s="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">
      <c r="A8" s="18" t="s">
        <v>49</v>
      </c>
      <c r="B8" s="2">
        <v>7220</v>
      </c>
      <c r="C8" s="2">
        <v>7170</v>
      </c>
      <c r="D8" s="2">
        <v>7820</v>
      </c>
      <c r="E8" s="2">
        <v>9290</v>
      </c>
      <c r="F8" s="2">
        <v>8720</v>
      </c>
      <c r="G8" s="2">
        <v>7540</v>
      </c>
      <c r="H8" s="2">
        <v>7860</v>
      </c>
      <c r="I8" s="2">
        <v>9160</v>
      </c>
      <c r="J8" s="2">
        <v>7430</v>
      </c>
      <c r="K8" s="2">
        <v>7250</v>
      </c>
      <c r="L8" s="2">
        <v>7320</v>
      </c>
      <c r="M8" s="2">
        <v>8380</v>
      </c>
      <c r="N8" s="2">
        <v>7230</v>
      </c>
      <c r="O8" s="2">
        <v>7540</v>
      </c>
      <c r="P8" s="2">
        <v>7580</v>
      </c>
      <c r="Q8" s="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2">
      <c r="A9" s="16" t="s">
        <v>50</v>
      </c>
      <c r="B9" s="2">
        <v>19320</v>
      </c>
      <c r="C9" s="2">
        <v>23050</v>
      </c>
      <c r="D9" s="2">
        <v>26740</v>
      </c>
      <c r="E9" s="2">
        <v>26280</v>
      </c>
      <c r="F9" s="2">
        <v>26870</v>
      </c>
      <c r="G9" s="2">
        <v>28500</v>
      </c>
      <c r="H9" s="2">
        <v>23020</v>
      </c>
      <c r="I9" s="2">
        <v>20070</v>
      </c>
      <c r="J9" s="2">
        <v>13730</v>
      </c>
      <c r="K9" s="2">
        <v>14730</v>
      </c>
      <c r="L9" s="2">
        <v>16440</v>
      </c>
      <c r="M9" s="2">
        <v>21690</v>
      </c>
      <c r="N9" s="2">
        <v>23140</v>
      </c>
      <c r="O9" s="2">
        <v>28560</v>
      </c>
      <c r="P9" s="2">
        <v>29270</v>
      </c>
      <c r="Q9" s="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2">
      <c r="A10" s="17" t="s">
        <v>51</v>
      </c>
      <c r="B10" s="2">
        <v>14430</v>
      </c>
      <c r="C10" s="2">
        <v>17880</v>
      </c>
      <c r="D10" s="2">
        <v>20830</v>
      </c>
      <c r="E10" s="2">
        <v>19450</v>
      </c>
      <c r="F10" s="2">
        <v>20090</v>
      </c>
      <c r="G10" s="2">
        <v>21080</v>
      </c>
      <c r="H10" s="2">
        <v>15230</v>
      </c>
      <c r="I10" s="2">
        <v>12140</v>
      </c>
      <c r="J10" s="2">
        <v>8920</v>
      </c>
      <c r="K10" s="2">
        <v>8970</v>
      </c>
      <c r="L10" s="2">
        <v>10530</v>
      </c>
      <c r="M10" s="2">
        <v>15710</v>
      </c>
      <c r="N10" s="2">
        <v>17490</v>
      </c>
      <c r="O10" s="2">
        <v>21740</v>
      </c>
      <c r="P10" s="2">
        <v>22270</v>
      </c>
      <c r="Q10" s="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x14ac:dyDescent="0.2">
      <c r="A11" s="16" t="s">
        <v>52</v>
      </c>
      <c r="B11" s="2">
        <v>6920</v>
      </c>
      <c r="C11" s="2">
        <v>6870</v>
      </c>
      <c r="D11" s="2">
        <v>8860</v>
      </c>
      <c r="E11" s="2">
        <v>9060</v>
      </c>
      <c r="F11" s="2">
        <v>7970</v>
      </c>
      <c r="G11" s="2">
        <v>7710</v>
      </c>
      <c r="H11" s="2">
        <v>9390</v>
      </c>
      <c r="I11" s="2">
        <v>9310</v>
      </c>
      <c r="J11" s="2">
        <v>6610</v>
      </c>
      <c r="K11" s="2">
        <v>6480</v>
      </c>
      <c r="L11" s="2">
        <v>8220</v>
      </c>
      <c r="M11" s="2">
        <v>9660</v>
      </c>
      <c r="N11" s="2">
        <v>5390</v>
      </c>
      <c r="O11" s="2">
        <v>7650</v>
      </c>
      <c r="P11" s="2">
        <v>8000</v>
      </c>
      <c r="Q11" s="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x14ac:dyDescent="0.2">
      <c r="A12" s="16" t="s">
        <v>53</v>
      </c>
      <c r="B12" s="2">
        <v>2370</v>
      </c>
      <c r="C12" s="2">
        <v>2420</v>
      </c>
      <c r="D12" s="2">
        <v>2400</v>
      </c>
      <c r="E12" s="2">
        <v>2850</v>
      </c>
      <c r="F12" s="2">
        <v>2670</v>
      </c>
      <c r="G12" s="2">
        <v>2980</v>
      </c>
      <c r="H12" s="2">
        <v>3630</v>
      </c>
      <c r="I12" s="2">
        <v>3940</v>
      </c>
      <c r="J12" s="2">
        <v>3170</v>
      </c>
      <c r="K12" s="2">
        <v>3500</v>
      </c>
      <c r="L12" s="2">
        <v>3800</v>
      </c>
      <c r="M12" s="1">
        <v>3920</v>
      </c>
      <c r="N12" s="2">
        <v>3200</v>
      </c>
      <c r="O12" s="2">
        <v>3620</v>
      </c>
      <c r="P12" s="2">
        <v>3530</v>
      </c>
      <c r="Q12" s="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x14ac:dyDescent="0.2">
      <c r="A13" s="15"/>
      <c r="B13" s="2"/>
      <c r="C13" s="2"/>
      <c r="D13" s="2"/>
      <c r="E13" s="2"/>
      <c r="F13" s="2"/>
      <c r="G13" s="2"/>
      <c r="H13" s="2"/>
      <c r="I13" s="2"/>
      <c r="K13" s="2"/>
      <c r="L13" s="2"/>
      <c r="M13" s="2"/>
      <c r="N13" s="2"/>
      <c r="O13" s="2"/>
      <c r="P13" s="2"/>
      <c r="Q13" s="2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11" customFormat="1" x14ac:dyDescent="0.2">
      <c r="A14" s="11" t="s">
        <v>0</v>
      </c>
      <c r="B14" s="11">
        <v>65388.502999999997</v>
      </c>
      <c r="C14" s="11">
        <v>63671.584999999999</v>
      </c>
      <c r="D14" s="11">
        <v>73979.187000000005</v>
      </c>
      <c r="E14" s="11">
        <f>+Z14-SUM(B14:D14)</f>
        <v>76565.524000000005</v>
      </c>
      <c r="F14" s="11">
        <v>77781.498000000007</v>
      </c>
      <c r="G14" s="11">
        <v>77203.607000000004</v>
      </c>
      <c r="H14" s="11">
        <v>76781.679999999993</v>
      </c>
      <c r="I14" s="11">
        <f>+AA14-SUM(F14:H14)</f>
        <v>70464.574999999983</v>
      </c>
      <c r="J14" s="11">
        <v>63745.370999999999</v>
      </c>
      <c r="K14" s="11">
        <v>60005.533000000003</v>
      </c>
      <c r="L14" s="11">
        <v>67400</v>
      </c>
      <c r="M14" s="11">
        <f>+AB14-SUM(J14:L14)</f>
        <v>67784.59</v>
      </c>
      <c r="N14" s="11">
        <v>71915.600999999995</v>
      </c>
      <c r="O14" s="11">
        <v>74068.301999999996</v>
      </c>
      <c r="P14" s="11">
        <v>79100</v>
      </c>
      <c r="S14" s="11">
        <v>206205.98699999999</v>
      </c>
      <c r="T14" s="11">
        <v>200653.48199999999</v>
      </c>
      <c r="U14" s="11">
        <v>201866.745</v>
      </c>
      <c r="V14" s="11">
        <v>239575.37599999999</v>
      </c>
      <c r="W14" s="11">
        <v>243771.41500000001</v>
      </c>
      <c r="X14" s="11">
        <v>230400.88099999999</v>
      </c>
      <c r="Y14" s="11">
        <v>236806.98800000001</v>
      </c>
      <c r="Z14" s="11">
        <v>279604.799</v>
      </c>
      <c r="AA14" s="11">
        <v>302231.36</v>
      </c>
      <c r="AB14" s="11">
        <v>258935.49400000001</v>
      </c>
    </row>
    <row r="15" spans="1:39" x14ac:dyDescent="0.2">
      <c r="A15" s="1" t="s">
        <v>1</v>
      </c>
      <c r="B15" s="1">
        <v>41499.985000000001</v>
      </c>
      <c r="C15" s="1">
        <v>37065.930999999997</v>
      </c>
      <c r="D15" s="1">
        <v>42898.870999999999</v>
      </c>
      <c r="E15" s="1">
        <f>+Z15-SUM(B15:D15)</f>
        <v>44946.555000000008</v>
      </c>
      <c r="F15" s="1">
        <v>47072.057000000001</v>
      </c>
      <c r="G15" s="1">
        <v>46269.748</v>
      </c>
      <c r="H15" s="1">
        <v>48072.237000000001</v>
      </c>
      <c r="I15" s="1">
        <f>+AA15-SUM(F15:H15)</f>
        <v>48627.728000000003</v>
      </c>
      <c r="J15" s="1">
        <v>46007.093000000001</v>
      </c>
      <c r="K15" s="1">
        <v>41647.19</v>
      </c>
      <c r="L15" s="1">
        <v>46620</v>
      </c>
      <c r="M15" s="1">
        <f>+AB15-SUM(J15:L15)</f>
        <v>46114.296999999991</v>
      </c>
      <c r="N15" s="1">
        <v>45886.332000000002</v>
      </c>
      <c r="O15" s="1">
        <v>44312.025999999998</v>
      </c>
      <c r="P15" s="1">
        <v>49100</v>
      </c>
      <c r="S15" s="1">
        <v>128278.8</v>
      </c>
      <c r="T15" s="1">
        <v>123482.118</v>
      </c>
      <c r="U15" s="1">
        <v>120277.715</v>
      </c>
      <c r="V15" s="1">
        <v>129290.66099999999</v>
      </c>
      <c r="W15" s="1">
        <v>132394.41099999999</v>
      </c>
      <c r="X15" s="1">
        <v>147239.549</v>
      </c>
      <c r="Y15" s="1">
        <v>144488.296</v>
      </c>
      <c r="Z15" s="1">
        <v>166411.342</v>
      </c>
      <c r="AA15" s="1">
        <v>190041.77</v>
      </c>
      <c r="AB15" s="1">
        <v>180388.58</v>
      </c>
    </row>
    <row r="16" spans="1:39" x14ac:dyDescent="0.2">
      <c r="A16" s="1" t="s">
        <v>2</v>
      </c>
      <c r="B16" s="1">
        <f t="shared" ref="B16:P16" si="1">+B14-B15</f>
        <v>23888.517999999996</v>
      </c>
      <c r="C16" s="1">
        <f t="shared" si="1"/>
        <v>26605.654000000002</v>
      </c>
      <c r="D16" s="1">
        <f t="shared" si="1"/>
        <v>31080.316000000006</v>
      </c>
      <c r="E16" s="1">
        <f t="shared" si="1"/>
        <v>31618.968999999997</v>
      </c>
      <c r="F16" s="1">
        <f t="shared" si="1"/>
        <v>30709.441000000006</v>
      </c>
      <c r="G16" s="1">
        <f t="shared" si="1"/>
        <v>30933.859000000004</v>
      </c>
      <c r="H16" s="1">
        <f t="shared" si="1"/>
        <v>28709.442999999992</v>
      </c>
      <c r="I16" s="1">
        <f t="shared" si="1"/>
        <v>21836.84699999998</v>
      </c>
      <c r="J16" s="1">
        <f t="shared" si="1"/>
        <v>17738.277999999998</v>
      </c>
      <c r="K16" s="1">
        <f t="shared" si="1"/>
        <v>18358.343000000001</v>
      </c>
      <c r="L16" s="1">
        <f t="shared" si="1"/>
        <v>20780</v>
      </c>
      <c r="M16" s="1">
        <f t="shared" si="1"/>
        <v>21670.293000000005</v>
      </c>
      <c r="N16" s="1">
        <f t="shared" si="1"/>
        <v>26029.268999999993</v>
      </c>
      <c r="O16" s="1">
        <f t="shared" si="1"/>
        <v>29756.275999999998</v>
      </c>
      <c r="P16" s="1">
        <f t="shared" si="1"/>
        <v>30000</v>
      </c>
      <c r="S16" s="1">
        <f t="shared" ref="S16:AB16" si="2">+S14-S15</f>
        <v>77927.186999999991</v>
      </c>
      <c r="T16" s="1">
        <f t="shared" si="2"/>
        <v>77171.363999999987</v>
      </c>
      <c r="U16" s="1">
        <f t="shared" si="2"/>
        <v>81589.03</v>
      </c>
      <c r="V16" s="1">
        <f t="shared" si="2"/>
        <v>110284.715</v>
      </c>
      <c r="W16" s="1">
        <f t="shared" si="2"/>
        <v>111377.00400000002</v>
      </c>
      <c r="X16" s="1">
        <f t="shared" si="2"/>
        <v>83161.331999999995</v>
      </c>
      <c r="Y16" s="1">
        <f t="shared" si="2"/>
        <v>92318.69200000001</v>
      </c>
      <c r="Z16" s="1">
        <f t="shared" si="2"/>
        <v>113193.45699999999</v>
      </c>
      <c r="AA16" s="1">
        <f t="shared" si="2"/>
        <v>112189.59</v>
      </c>
      <c r="AB16" s="1">
        <f t="shared" si="2"/>
        <v>78546.914000000019</v>
      </c>
    </row>
    <row r="17" spans="1:28" x14ac:dyDescent="0.2">
      <c r="A17" s="1" t="s">
        <v>3</v>
      </c>
      <c r="B17" s="1">
        <f>14505.65-B18</f>
        <v>9065.65</v>
      </c>
      <c r="C17" s="1">
        <f>14038.909-C18</f>
        <v>8658.9089999999997</v>
      </c>
      <c r="D17" s="1">
        <f>16840-D18</f>
        <v>10590</v>
      </c>
      <c r="E17" s="1">
        <f t="shared" ref="E17:E22" si="3">+Z17-SUM(B17:D17)</f>
        <v>10845.042000000001</v>
      </c>
      <c r="F17" s="1">
        <f>16588.032-F18</f>
        <v>10668.031999999999</v>
      </c>
      <c r="G17" s="1">
        <f>16836.814-G18</f>
        <v>10586.813999999998</v>
      </c>
      <c r="H17" s="1">
        <f>17857-H18</f>
        <v>11587</v>
      </c>
      <c r="I17" s="1">
        <f t="shared" ref="I17:I22" si="4">+AA17-SUM(F17:H17)</f>
        <v>11048.154000000002</v>
      </c>
      <c r="J17" s="1">
        <f>17100-J18</f>
        <v>10520</v>
      </c>
      <c r="K17" s="1">
        <f>17690-K18</f>
        <v>10490</v>
      </c>
      <c r="L17" s="1">
        <f>18350-L18</f>
        <v>11340</v>
      </c>
      <c r="M17" s="1">
        <f>+AB17-SUM(J17:L17)</f>
        <v>11290</v>
      </c>
      <c r="N17" s="1">
        <f>19420-N18</f>
        <v>11600</v>
      </c>
      <c r="O17" s="1">
        <f>19310-O18</f>
        <v>11260</v>
      </c>
      <c r="P17" s="1">
        <f>20820-P18</f>
        <v>11950</v>
      </c>
      <c r="S17" s="1">
        <f>52902.116-S18</f>
        <v>38512.116000000002</v>
      </c>
      <c r="T17" s="1">
        <f>50757.922-T18</f>
        <v>37047.921999999999</v>
      </c>
      <c r="U17" s="1">
        <f>52348.358-U18</f>
        <v>38238.358</v>
      </c>
      <c r="V17" s="1">
        <f>56639.677-V18</f>
        <v>40279.677000000003</v>
      </c>
      <c r="W17" s="1">
        <f>52490.335-W18</f>
        <v>34140.334999999999</v>
      </c>
      <c r="X17" s="1">
        <f>55392.823-X18</f>
        <v>35482.822999999997</v>
      </c>
      <c r="Y17" s="1">
        <f>56324.816-Y18</f>
        <v>35214.815999999999</v>
      </c>
      <c r="Z17" s="1">
        <f>61559.601-Z18</f>
        <v>39159.601000000002</v>
      </c>
      <c r="AA17" s="1">
        <f>68810-AA18</f>
        <v>43890</v>
      </c>
      <c r="AB17" s="1">
        <f>71980-AB18</f>
        <v>43640</v>
      </c>
    </row>
    <row r="18" spans="1:28" x14ac:dyDescent="0.2">
      <c r="A18" s="1" t="s">
        <v>4</v>
      </c>
      <c r="B18" s="1">
        <v>5440</v>
      </c>
      <c r="C18" s="1">
        <v>5380</v>
      </c>
      <c r="D18" s="1">
        <v>6250</v>
      </c>
      <c r="E18" s="1">
        <f t="shared" si="3"/>
        <v>5330</v>
      </c>
      <c r="F18" s="1">
        <v>5920</v>
      </c>
      <c r="G18" s="1">
        <v>6250</v>
      </c>
      <c r="H18" s="1">
        <v>6270</v>
      </c>
      <c r="I18" s="1">
        <f t="shared" si="4"/>
        <v>6480</v>
      </c>
      <c r="J18" s="1">
        <v>6580</v>
      </c>
      <c r="K18" s="1">
        <v>7200</v>
      </c>
      <c r="L18" s="1">
        <v>7010</v>
      </c>
      <c r="M18" s="1">
        <f>+AB18-SUM(J18:L18)</f>
        <v>7550</v>
      </c>
      <c r="N18" s="1">
        <v>7820</v>
      </c>
      <c r="O18" s="1">
        <v>8050</v>
      </c>
      <c r="P18" s="1">
        <v>8870</v>
      </c>
      <c r="S18" s="1">
        <v>14390</v>
      </c>
      <c r="T18" s="1">
        <v>13710</v>
      </c>
      <c r="U18" s="1">
        <v>14110</v>
      </c>
      <c r="V18" s="1">
        <v>16360</v>
      </c>
      <c r="W18" s="1">
        <v>18350</v>
      </c>
      <c r="X18" s="1">
        <v>19910</v>
      </c>
      <c r="Y18" s="1">
        <v>21110</v>
      </c>
      <c r="Z18" s="1">
        <v>22400</v>
      </c>
      <c r="AA18" s="1">
        <v>24920</v>
      </c>
      <c r="AB18" s="1">
        <v>28340</v>
      </c>
    </row>
    <row r="19" spans="1:28" x14ac:dyDescent="0.2">
      <c r="A19" s="1" t="s">
        <v>5</v>
      </c>
      <c r="B19" s="1">
        <f t="shared" ref="B19:P19" si="5">+B16-SUM(B17:B18)</f>
        <v>9382.8679999999968</v>
      </c>
      <c r="C19" s="1">
        <f t="shared" si="5"/>
        <v>12566.745000000003</v>
      </c>
      <c r="D19" s="1">
        <f t="shared" si="5"/>
        <v>14240.316000000006</v>
      </c>
      <c r="E19" s="1">
        <f t="shared" si="5"/>
        <v>15443.926999999996</v>
      </c>
      <c r="F19" s="1">
        <f t="shared" si="5"/>
        <v>14121.409000000007</v>
      </c>
      <c r="G19" s="1">
        <f t="shared" si="5"/>
        <v>14097.045000000006</v>
      </c>
      <c r="H19" s="1">
        <f t="shared" si="5"/>
        <v>10852.442999999992</v>
      </c>
      <c r="I19" s="1">
        <f t="shared" si="5"/>
        <v>4308.6929999999775</v>
      </c>
      <c r="J19" s="1">
        <f t="shared" si="5"/>
        <v>638.27799999999843</v>
      </c>
      <c r="K19" s="1">
        <f t="shared" si="5"/>
        <v>668.34300000000076</v>
      </c>
      <c r="L19" s="1">
        <f t="shared" si="5"/>
        <v>2430</v>
      </c>
      <c r="M19" s="1">
        <f t="shared" si="5"/>
        <v>2830.2930000000051</v>
      </c>
      <c r="N19" s="1">
        <f t="shared" si="5"/>
        <v>6609.268999999993</v>
      </c>
      <c r="O19" s="1">
        <f t="shared" si="5"/>
        <v>10446.275999999998</v>
      </c>
      <c r="P19" s="1">
        <f t="shared" si="5"/>
        <v>9180</v>
      </c>
      <c r="S19" s="1">
        <f t="shared" ref="S19:AB19" si="6">+S16-SUM(S17:S18)</f>
        <v>25025.070999999989</v>
      </c>
      <c r="T19" s="1">
        <f t="shared" si="6"/>
        <v>26413.441999999988</v>
      </c>
      <c r="U19" s="1">
        <f t="shared" si="6"/>
        <v>29240.671999999999</v>
      </c>
      <c r="V19" s="1">
        <f t="shared" si="6"/>
        <v>53645.037999999993</v>
      </c>
      <c r="W19" s="1">
        <f t="shared" si="6"/>
        <v>58886.669000000016</v>
      </c>
      <c r="X19" s="1">
        <f t="shared" si="6"/>
        <v>27768.508999999998</v>
      </c>
      <c r="Y19" s="1">
        <f t="shared" si="6"/>
        <v>35993.876000000011</v>
      </c>
      <c r="Z19" s="1">
        <f t="shared" si="6"/>
        <v>51633.855999999992</v>
      </c>
      <c r="AA19" s="1">
        <f t="shared" si="6"/>
        <v>43379.59</v>
      </c>
      <c r="AB19" s="1">
        <f t="shared" si="6"/>
        <v>6566.9140000000189</v>
      </c>
    </row>
    <row r="20" spans="1:28" x14ac:dyDescent="0.2">
      <c r="A20" s="1" t="s">
        <v>6</v>
      </c>
      <c r="B20" s="1">
        <f>2238.638-1993.882</f>
        <v>244.75599999999986</v>
      </c>
      <c r="C20" s="1">
        <f>1787.143-1522.717</f>
        <v>264.42599999999993</v>
      </c>
      <c r="D20" s="1">
        <f>2660.88-2490.646</f>
        <v>170.23399999999992</v>
      </c>
      <c r="E20" s="1">
        <f t="shared" si="3"/>
        <v>159.2170000000001</v>
      </c>
      <c r="F20" s="1">
        <f>3502.189-3033.318</f>
        <v>468.87099999999964</v>
      </c>
      <c r="G20" s="1">
        <f>5371.885-5130.979</f>
        <v>240.90599999999995</v>
      </c>
      <c r="H20" s="1">
        <f>6758.972-6101.555</f>
        <v>657.41699999999946</v>
      </c>
      <c r="I20" s="1">
        <f t="shared" si="4"/>
        <v>434.11200000000144</v>
      </c>
      <c r="J20" s="1">
        <f>4628.049-3956.001</f>
        <v>672.04799999999977</v>
      </c>
      <c r="K20" s="1">
        <f>4056.928-3244.54</f>
        <v>812.38799999999992</v>
      </c>
      <c r="L20" s="1">
        <v>1210</v>
      </c>
      <c r="M20" s="1">
        <f>+AB20-SUM(J20:L20)</f>
        <v>760.18199999999888</v>
      </c>
      <c r="N20" s="1">
        <f>3484.504-2662.511</f>
        <v>821.99299999999994</v>
      </c>
      <c r="O20" s="1">
        <f>3616.184-2736.237</f>
        <v>879.94700000000012</v>
      </c>
      <c r="P20" s="1">
        <v>790</v>
      </c>
      <c r="S20" s="1">
        <f>8259.829-7294.002</f>
        <v>965.82699999999932</v>
      </c>
      <c r="T20" s="1">
        <f>10514.879-10031.771</f>
        <v>483.10800000000017</v>
      </c>
      <c r="U20" s="1">
        <f>11385.645-10706.613</f>
        <v>679.03200000000106</v>
      </c>
      <c r="V20" s="1">
        <f>9737.391-8978.913</f>
        <v>758.47799999999916</v>
      </c>
      <c r="W20" s="1">
        <f>9999.321-8608.896</f>
        <v>1390.4249999999993</v>
      </c>
      <c r="X20" s="1">
        <f>10161.632-8274.871</f>
        <v>1886.7610000000004</v>
      </c>
      <c r="Y20" s="1">
        <f>12267.6-11318.055</f>
        <v>949.54500000000007</v>
      </c>
      <c r="Z20" s="1">
        <f>8543.187-7704.554</f>
        <v>838.63299999999981</v>
      </c>
      <c r="AA20" s="1">
        <f>20828.995-19027.689</f>
        <v>1801.3060000000005</v>
      </c>
      <c r="AB20" s="1">
        <f>16100.148-12645.53</f>
        <v>3454.6179999999986</v>
      </c>
    </row>
    <row r="21" spans="1:28" x14ac:dyDescent="0.2">
      <c r="A21" s="1" t="s">
        <v>7</v>
      </c>
      <c r="B21" s="1">
        <f t="shared" ref="B21:H21" si="7">+B19+B20</f>
        <v>9627.6239999999962</v>
      </c>
      <c r="C21" s="1">
        <f t="shared" si="7"/>
        <v>12831.171000000002</v>
      </c>
      <c r="D21" s="1">
        <f t="shared" si="7"/>
        <v>14410.550000000007</v>
      </c>
      <c r="E21" s="1">
        <f t="shared" si="7"/>
        <v>15603.143999999997</v>
      </c>
      <c r="F21" s="1">
        <f t="shared" si="7"/>
        <v>14590.280000000006</v>
      </c>
      <c r="G21" s="1">
        <f t="shared" si="7"/>
        <v>14337.951000000005</v>
      </c>
      <c r="H21" s="1">
        <f t="shared" si="7"/>
        <v>11509.859999999991</v>
      </c>
      <c r="I21" s="1">
        <f>+I18-SUM(I19:I20)</f>
        <v>1737.1950000000215</v>
      </c>
      <c r="J21" s="1">
        <f>+J19+J20</f>
        <v>1310.3259999999982</v>
      </c>
      <c r="K21" s="1">
        <f>+K19+K20</f>
        <v>1480.7310000000007</v>
      </c>
      <c r="L21" s="1">
        <f>+L19+L20</f>
        <v>3640</v>
      </c>
      <c r="M21" s="1">
        <f>+M18-SUM(M19:M20)</f>
        <v>3959.524999999996</v>
      </c>
      <c r="N21" s="1">
        <f>+N19+N20</f>
        <v>7431.2619999999933</v>
      </c>
      <c r="O21" s="1">
        <f>+O19+O20</f>
        <v>11326.222999999998</v>
      </c>
      <c r="P21" s="1">
        <f>+P19+P20</f>
        <v>9970</v>
      </c>
      <c r="S21" s="1">
        <f t="shared" ref="S21:AB21" si="8">+S19+S20</f>
        <v>25990.897999999986</v>
      </c>
      <c r="T21" s="1">
        <f t="shared" si="8"/>
        <v>26896.549999999988</v>
      </c>
      <c r="U21" s="1">
        <f t="shared" si="8"/>
        <v>29919.703999999998</v>
      </c>
      <c r="V21" s="1">
        <f t="shared" si="8"/>
        <v>54403.515999999989</v>
      </c>
      <c r="W21" s="1">
        <f t="shared" si="8"/>
        <v>60277.094000000012</v>
      </c>
      <c r="X21" s="1">
        <f t="shared" si="8"/>
        <v>29655.269999999997</v>
      </c>
      <c r="Y21" s="1">
        <f t="shared" si="8"/>
        <v>36943.421000000009</v>
      </c>
      <c r="Z21" s="1">
        <f t="shared" si="8"/>
        <v>52472.488999999994</v>
      </c>
      <c r="AA21" s="1">
        <f t="shared" si="8"/>
        <v>45180.895999999993</v>
      </c>
      <c r="AB21" s="1">
        <f t="shared" si="8"/>
        <v>10021.532000000017</v>
      </c>
    </row>
    <row r="22" spans="1:28" x14ac:dyDescent="0.2">
      <c r="A22" s="1" t="s">
        <v>8</v>
      </c>
      <c r="B22" s="1">
        <v>2608.96</v>
      </c>
      <c r="C22" s="1">
        <v>3247.944</v>
      </c>
      <c r="D22" s="1">
        <v>4062.538</v>
      </c>
      <c r="E22" s="1">
        <f t="shared" si="3"/>
        <v>3524.9349999999995</v>
      </c>
      <c r="F22" s="1">
        <v>3745.212</v>
      </c>
      <c r="G22" s="1">
        <v>3361.953</v>
      </c>
      <c r="H22" s="1">
        <v>2465.7600000000002</v>
      </c>
      <c r="I22" s="1">
        <f t="shared" si="4"/>
        <v>-18786.527999999998</v>
      </c>
      <c r="J22" s="1">
        <v>251.78</v>
      </c>
      <c r="K22" s="1">
        <v>-10.576000000000001</v>
      </c>
      <c r="L22" s="1">
        <v>-1900</v>
      </c>
      <c r="M22" s="1">
        <f>+AB22-SUM(J22:L22)</f>
        <v>-2822.0389999999998</v>
      </c>
      <c r="N22" s="1">
        <v>952.01499999999999</v>
      </c>
      <c r="O22" s="1">
        <v>1753.999</v>
      </c>
      <c r="P22" s="1">
        <v>220</v>
      </c>
      <c r="S22" s="1">
        <v>4480.6760000000004</v>
      </c>
      <c r="T22" s="1">
        <v>6900.8509999999997</v>
      </c>
      <c r="U22" s="1">
        <v>7987.56</v>
      </c>
      <c r="V22" s="1">
        <v>14009.22</v>
      </c>
      <c r="W22" s="1">
        <v>16815.100999999999</v>
      </c>
      <c r="X22" s="1">
        <v>8693.3240000000005</v>
      </c>
      <c r="Y22" s="1">
        <v>9937.2849999999999</v>
      </c>
      <c r="Z22" s="1">
        <v>13444.377</v>
      </c>
      <c r="AA22" s="1">
        <v>-9213.6029999999992</v>
      </c>
      <c r="AB22" s="1">
        <v>-4480.835</v>
      </c>
    </row>
    <row r="23" spans="1:28" x14ac:dyDescent="0.2">
      <c r="A23" s="1" t="s">
        <v>9</v>
      </c>
      <c r="B23" s="1">
        <f t="shared" ref="B23:H23" si="9">+B21-B22</f>
        <v>7018.6639999999961</v>
      </c>
      <c r="C23" s="1">
        <f t="shared" si="9"/>
        <v>9583.2270000000026</v>
      </c>
      <c r="D23" s="1">
        <f t="shared" si="9"/>
        <v>10348.012000000006</v>
      </c>
      <c r="E23" s="1">
        <f t="shared" si="9"/>
        <v>12078.208999999997</v>
      </c>
      <c r="F23" s="1">
        <f t="shared" si="9"/>
        <v>10845.068000000007</v>
      </c>
      <c r="G23" s="1">
        <f t="shared" si="9"/>
        <v>10975.998000000005</v>
      </c>
      <c r="H23" s="1">
        <f t="shared" si="9"/>
        <v>9044.0999999999913</v>
      </c>
      <c r="I23" s="1">
        <f>+I20-SUM(I21:I22)</f>
        <v>17483.444999999978</v>
      </c>
      <c r="J23" s="1">
        <f t="shared" ref="J23:P23" si="10">+J21-J22</f>
        <v>1058.5459999999982</v>
      </c>
      <c r="K23" s="1">
        <f t="shared" si="10"/>
        <v>1491.3070000000007</v>
      </c>
      <c r="L23" s="1">
        <f t="shared" si="10"/>
        <v>5540</v>
      </c>
      <c r="M23" s="1">
        <f t="shared" si="10"/>
        <v>6781.5639999999958</v>
      </c>
      <c r="N23" s="1">
        <f t="shared" si="10"/>
        <v>6479.246999999993</v>
      </c>
      <c r="O23" s="1">
        <f t="shared" si="10"/>
        <v>9572.2239999999983</v>
      </c>
      <c r="P23" s="1">
        <f t="shared" si="10"/>
        <v>9750</v>
      </c>
      <c r="S23" s="1">
        <f t="shared" ref="S23:AB23" si="11">+S21-S22</f>
        <v>21510.221999999987</v>
      </c>
      <c r="T23" s="1">
        <f t="shared" si="11"/>
        <v>19995.69899999999</v>
      </c>
      <c r="U23" s="1">
        <f t="shared" si="11"/>
        <v>21932.143999999997</v>
      </c>
      <c r="V23" s="1">
        <f t="shared" si="11"/>
        <v>40394.295999999988</v>
      </c>
      <c r="W23" s="1">
        <f t="shared" si="11"/>
        <v>43461.993000000017</v>
      </c>
      <c r="X23" s="1">
        <f t="shared" si="11"/>
        <v>20961.945999999996</v>
      </c>
      <c r="Y23" s="1">
        <f t="shared" si="11"/>
        <v>27006.13600000001</v>
      </c>
      <c r="Z23" s="1">
        <f t="shared" si="11"/>
        <v>39028.111999999994</v>
      </c>
      <c r="AA23" s="1">
        <f t="shared" si="11"/>
        <v>54394.498999999996</v>
      </c>
      <c r="AB23" s="1">
        <f t="shared" si="11"/>
        <v>14502.367000000017</v>
      </c>
    </row>
    <row r="24" spans="1:28" s="4" customFormat="1" x14ac:dyDescent="0.2">
      <c r="A24" s="4" t="s">
        <v>10</v>
      </c>
      <c r="B24" s="4">
        <f t="shared" ref="B24:P24" si="12">+B23/B25</f>
        <v>1.0332703892508819</v>
      </c>
      <c r="C24" s="4">
        <f t="shared" si="12"/>
        <v>1.4108190237585914</v>
      </c>
      <c r="D24" s="4">
        <f t="shared" si="12"/>
        <v>1.5234087836677763</v>
      </c>
      <c r="E24" s="4">
        <f t="shared" si="12"/>
        <v>1.7781241151996319</v>
      </c>
      <c r="F24" s="4">
        <f t="shared" si="12"/>
        <v>1.5965841410576567</v>
      </c>
      <c r="G24" s="4">
        <f t="shared" si="12"/>
        <v>1.615859332470811</v>
      </c>
      <c r="H24" s="4">
        <f t="shared" si="12"/>
        <v>1.3314500775965195</v>
      </c>
      <c r="I24" s="4">
        <f t="shared" si="12"/>
        <v>2.5738696168667388</v>
      </c>
      <c r="J24" s="4">
        <f t="shared" si="12"/>
        <v>0.15583652921125202</v>
      </c>
      <c r="K24" s="4">
        <f t="shared" si="12"/>
        <v>0.21954653540653415</v>
      </c>
      <c r="L24" s="4">
        <f t="shared" si="12"/>
        <v>0.81558512509644132</v>
      </c>
      <c r="M24" s="4">
        <f t="shared" si="12"/>
        <v>0.99836511250713345</v>
      </c>
      <c r="N24" s="4">
        <f t="shared" si="12"/>
        <v>0.95385875000464548</v>
      </c>
      <c r="O24" s="4">
        <f t="shared" si="12"/>
        <v>1.4091991892583315</v>
      </c>
      <c r="P24" s="4">
        <f t="shared" si="12"/>
        <v>1.4353709331570943</v>
      </c>
      <c r="S24" s="4">
        <f t="shared" ref="S24:AB24" si="13">+S23/S25</f>
        <v>3.1666817871339736</v>
      </c>
      <c r="T24" s="4">
        <f t="shared" si="13"/>
        <v>2.9437174495136782</v>
      </c>
      <c r="U24" s="4">
        <f t="shared" si="13"/>
        <v>3.2287961025041807</v>
      </c>
      <c r="V24" s="4">
        <f t="shared" si="13"/>
        <v>5.946748548076294</v>
      </c>
      <c r="W24" s="4">
        <f t="shared" si="13"/>
        <v>6.3983673281309876</v>
      </c>
      <c r="X24" s="4">
        <f t="shared" si="13"/>
        <v>3.0859659477752426</v>
      </c>
      <c r="Y24" s="4">
        <f t="shared" si="13"/>
        <v>3.9757766801320424</v>
      </c>
      <c r="Z24" s="4">
        <f t="shared" si="13"/>
        <v>5.7456223118768799</v>
      </c>
      <c r="AA24" s="4">
        <f t="shared" si="13"/>
        <v>8.0078238757171931</v>
      </c>
      <c r="AB24" s="4">
        <f t="shared" si="13"/>
        <v>2.1350026721822228</v>
      </c>
    </row>
    <row r="25" spans="1:28" x14ac:dyDescent="0.2">
      <c r="A25" s="1" t="s">
        <v>11</v>
      </c>
      <c r="B25" s="1">
        <f>5969.78255+822.8867</f>
        <v>6792.6692499999999</v>
      </c>
      <c r="C25" s="1">
        <f>5969.78255+822.8867</f>
        <v>6792.6692499999999</v>
      </c>
      <c r="D25" s="1">
        <v>6792.6692499999999</v>
      </c>
      <c r="E25" s="1">
        <v>6792.6692499999999</v>
      </c>
      <c r="F25" s="1">
        <f>5969.78255+822.8867</f>
        <v>6792.6692499999999</v>
      </c>
      <c r="G25" s="1">
        <f>5969.78255+822.8867</f>
        <v>6792.6692499999999</v>
      </c>
      <c r="H25" s="1">
        <f>5969.78255+822.8867</f>
        <v>6792.6692499999999</v>
      </c>
      <c r="I25" s="1">
        <v>6792.6692499999999</v>
      </c>
      <c r="J25" s="1">
        <v>6792.6692499999999</v>
      </c>
      <c r="K25" s="1">
        <v>6792.6692499999999</v>
      </c>
      <c r="L25" s="1">
        <v>6792.6692499999999</v>
      </c>
      <c r="M25" s="1">
        <v>6792.6692499999999</v>
      </c>
      <c r="N25" s="1">
        <v>6792.6692499999999</v>
      </c>
      <c r="O25" s="1">
        <v>6792.6692499999999</v>
      </c>
      <c r="P25" s="1">
        <v>6792.6692499999999</v>
      </c>
      <c r="S25" s="1">
        <v>6792.6692499999999</v>
      </c>
      <c r="T25" s="1">
        <v>6792.6692499999999</v>
      </c>
      <c r="U25" s="1">
        <v>6792.6692499999999</v>
      </c>
      <c r="V25" s="1">
        <v>6792.6692499999999</v>
      </c>
      <c r="W25" s="1">
        <v>6792.6692499999999</v>
      </c>
      <c r="X25" s="1">
        <v>6792.6692499999999</v>
      </c>
      <c r="Y25" s="1">
        <v>6792.6692499999999</v>
      </c>
      <c r="Z25" s="1">
        <v>6792.6692499999999</v>
      </c>
      <c r="AA25" s="1">
        <v>6792.6692499999999</v>
      </c>
      <c r="AB25" s="1">
        <v>6792.6692499999999</v>
      </c>
    </row>
    <row r="27" spans="1:28" s="3" customFormat="1" x14ac:dyDescent="0.2">
      <c r="A27" s="3" t="s">
        <v>12</v>
      </c>
      <c r="B27" s="3">
        <f t="shared" ref="B27:P27" si="14">+B16/B14</f>
        <v>0.36533208291983682</v>
      </c>
      <c r="C27" s="3">
        <f t="shared" si="14"/>
        <v>0.41785757335866547</v>
      </c>
      <c r="D27" s="3">
        <f t="shared" si="14"/>
        <v>0.42012243254308818</v>
      </c>
      <c r="E27" s="3">
        <f t="shared" si="14"/>
        <v>0.41296614126222131</v>
      </c>
      <c r="F27" s="3">
        <f t="shared" si="14"/>
        <v>0.39481678534913284</v>
      </c>
      <c r="G27" s="3">
        <f t="shared" si="14"/>
        <v>0.40067893459951948</v>
      </c>
      <c r="H27" s="3">
        <f t="shared" si="14"/>
        <v>0.37391006552604727</v>
      </c>
      <c r="I27" s="3">
        <f t="shared" si="14"/>
        <v>0.3098982290037226</v>
      </c>
      <c r="J27" s="3">
        <f t="shared" si="14"/>
        <v>0.27826770354823094</v>
      </c>
      <c r="K27" s="3">
        <f t="shared" si="14"/>
        <v>0.30594417018177306</v>
      </c>
      <c r="L27" s="3">
        <f t="shared" si="14"/>
        <v>0.30830860534124627</v>
      </c>
      <c r="M27" s="3">
        <f t="shared" si="14"/>
        <v>0.31969350260877888</v>
      </c>
      <c r="N27" s="3">
        <f t="shared" si="14"/>
        <v>0.36194189630703349</v>
      </c>
      <c r="O27" s="3">
        <f t="shared" si="14"/>
        <v>0.40174103086634821</v>
      </c>
      <c r="P27" s="3">
        <f t="shared" si="14"/>
        <v>0.37926675094816686</v>
      </c>
      <c r="S27" s="3">
        <f t="shared" ref="S27:AB27" si="15">+S16/S14</f>
        <v>0.37790942995268123</v>
      </c>
      <c r="T27" s="3">
        <f t="shared" si="15"/>
        <v>0.38460017354695092</v>
      </c>
      <c r="U27" s="3">
        <f t="shared" si="15"/>
        <v>0.40417271304394392</v>
      </c>
      <c r="V27" s="3">
        <f t="shared" si="15"/>
        <v>0.46033409961130561</v>
      </c>
      <c r="W27" s="3">
        <f t="shared" si="15"/>
        <v>0.45689115764454996</v>
      </c>
      <c r="X27" s="3">
        <f t="shared" si="15"/>
        <v>0.36094190108587298</v>
      </c>
      <c r="Y27" s="3">
        <f t="shared" si="15"/>
        <v>0.38984783675387147</v>
      </c>
      <c r="Z27" s="3">
        <f t="shared" si="15"/>
        <v>0.40483374178423881</v>
      </c>
      <c r="AA27" s="3">
        <f t="shared" si="15"/>
        <v>0.3712043316749129</v>
      </c>
      <c r="AB27" s="3">
        <f t="shared" si="15"/>
        <v>0.30334548881892576</v>
      </c>
    </row>
    <row r="28" spans="1:28" s="3" customFormat="1" x14ac:dyDescent="0.2">
      <c r="A28" s="3" t="s">
        <v>13</v>
      </c>
      <c r="B28" s="3">
        <f t="shared" ref="B28:P28" si="16">+B19/B14</f>
        <v>0.14349415523398659</v>
      </c>
      <c r="C28" s="3">
        <f t="shared" si="16"/>
        <v>0.19736818236894846</v>
      </c>
      <c r="D28" s="3">
        <f t="shared" si="16"/>
        <v>0.19249084205264388</v>
      </c>
      <c r="E28" s="3">
        <f t="shared" si="16"/>
        <v>0.20170863063642058</v>
      </c>
      <c r="F28" s="3">
        <f t="shared" si="16"/>
        <v>0.18155228895180195</v>
      </c>
      <c r="G28" s="3">
        <f t="shared" si="16"/>
        <v>0.18259567846357236</v>
      </c>
      <c r="H28" s="3">
        <f t="shared" si="16"/>
        <v>0.1413415674155605</v>
      </c>
      <c r="I28" s="3">
        <f t="shared" si="16"/>
        <v>6.1146938018145691E-2</v>
      </c>
      <c r="J28" s="3">
        <f t="shared" si="16"/>
        <v>1.0012930978156805E-2</v>
      </c>
      <c r="K28" s="3">
        <f t="shared" si="16"/>
        <v>1.1138022888655964E-2</v>
      </c>
      <c r="L28" s="3">
        <f t="shared" si="16"/>
        <v>3.605341246290801E-2</v>
      </c>
      <c r="M28" s="3">
        <f t="shared" si="16"/>
        <v>4.1754224669648447E-2</v>
      </c>
      <c r="N28" s="3">
        <f t="shared" si="16"/>
        <v>9.1903132395431048E-2</v>
      </c>
      <c r="O28" s="3">
        <f t="shared" si="16"/>
        <v>0.1410357159260921</v>
      </c>
      <c r="P28" s="3">
        <f t="shared" si="16"/>
        <v>0.11605562579013906</v>
      </c>
      <c r="S28" s="3">
        <f t="shared" ref="S28:AB28" si="17">+S19/S14</f>
        <v>0.12135957526781213</v>
      </c>
      <c r="T28" s="3">
        <f t="shared" si="17"/>
        <v>0.13163709763083001</v>
      </c>
      <c r="U28" s="3">
        <f t="shared" si="17"/>
        <v>0.14485135726540793</v>
      </c>
      <c r="V28" s="3">
        <f t="shared" si="17"/>
        <v>0.2239171608354274</v>
      </c>
      <c r="W28" s="3">
        <f t="shared" si="17"/>
        <v>0.24156511131545105</v>
      </c>
      <c r="X28" s="3">
        <f t="shared" si="17"/>
        <v>0.12052258168231569</v>
      </c>
      <c r="Y28" s="3">
        <f t="shared" si="17"/>
        <v>0.15199668009797079</v>
      </c>
      <c r="Z28" s="3">
        <f t="shared" si="17"/>
        <v>0.18466727389754134</v>
      </c>
      <c r="AA28" s="3">
        <f t="shared" si="17"/>
        <v>0.14353106838416768</v>
      </c>
      <c r="AB28" s="3">
        <f t="shared" si="17"/>
        <v>2.5361196715657758E-2</v>
      </c>
    </row>
    <row r="29" spans="1:28" s="3" customFormat="1" x14ac:dyDescent="0.2">
      <c r="A29" s="3" t="s">
        <v>14</v>
      </c>
      <c r="B29" s="3">
        <f t="shared" ref="B29:P29" si="18">+B23/B14</f>
        <v>0.10733789088274427</v>
      </c>
      <c r="C29" s="3">
        <f t="shared" si="18"/>
        <v>0.15051026293754119</v>
      </c>
      <c r="D29" s="3">
        <f t="shared" si="18"/>
        <v>0.13987734144739933</v>
      </c>
      <c r="E29" s="3">
        <f t="shared" si="18"/>
        <v>0.15774996851063144</v>
      </c>
      <c r="F29" s="3">
        <f t="shared" si="18"/>
        <v>0.13942991943919628</v>
      </c>
      <c r="G29" s="3">
        <f t="shared" si="18"/>
        <v>0.14216949733967746</v>
      </c>
      <c r="H29" s="3">
        <f t="shared" si="18"/>
        <v>0.11778981652915112</v>
      </c>
      <c r="I29" s="3">
        <f t="shared" si="18"/>
        <v>0.24811680195332167</v>
      </c>
      <c r="J29" s="3">
        <f t="shared" si="18"/>
        <v>1.6605848917249196E-2</v>
      </c>
      <c r="K29" s="3">
        <f t="shared" si="18"/>
        <v>2.4852824822004342E-2</v>
      </c>
      <c r="L29" s="3">
        <f t="shared" si="18"/>
        <v>8.2195845697329378E-2</v>
      </c>
      <c r="M29" s="3">
        <f t="shared" si="18"/>
        <v>0.10004580687144374</v>
      </c>
      <c r="N29" s="3">
        <f t="shared" si="18"/>
        <v>9.0095151954580663E-2</v>
      </c>
      <c r="O29" s="3">
        <f t="shared" si="18"/>
        <v>0.12923509438625985</v>
      </c>
      <c r="P29" s="3">
        <f t="shared" si="18"/>
        <v>0.12326169405815424</v>
      </c>
      <c r="S29" s="3">
        <f t="shared" ref="S29:AB29" si="19">+S23/S14</f>
        <v>0.10431424573526077</v>
      </c>
      <c r="T29" s="3">
        <f t="shared" si="19"/>
        <v>9.965288815670785E-2</v>
      </c>
      <c r="U29" s="3">
        <f t="shared" si="19"/>
        <v>0.10864664212027592</v>
      </c>
      <c r="V29" s="3">
        <f t="shared" si="19"/>
        <v>0.16860787896665971</v>
      </c>
      <c r="W29" s="3">
        <f t="shared" si="19"/>
        <v>0.17828994839284176</v>
      </c>
      <c r="X29" s="3">
        <f t="shared" si="19"/>
        <v>9.0980320513618165E-2</v>
      </c>
      <c r="Y29" s="3">
        <f t="shared" si="19"/>
        <v>0.11404281701349121</v>
      </c>
      <c r="Z29" s="3">
        <f t="shared" si="19"/>
        <v>0.13958312639691137</v>
      </c>
      <c r="AA29" s="3">
        <f t="shared" si="19"/>
        <v>0.17997635652369098</v>
      </c>
      <c r="AB29" s="3">
        <f t="shared" si="19"/>
        <v>5.6007644127768812E-2</v>
      </c>
    </row>
    <row r="30" spans="1:28" s="3" customFormat="1" x14ac:dyDescent="0.2">
      <c r="A30" s="3" t="s">
        <v>15</v>
      </c>
      <c r="B30" s="3">
        <f t="shared" ref="B30:P30" si="20">+B22/B21</f>
        <v>0.27098690185657448</v>
      </c>
      <c r="C30" s="3">
        <f t="shared" si="20"/>
        <v>0.25312919608038886</v>
      </c>
      <c r="D30" s="3">
        <f t="shared" si="20"/>
        <v>0.28191415317250196</v>
      </c>
      <c r="E30" s="3">
        <f t="shared" si="20"/>
        <v>0.22591184186981805</v>
      </c>
      <c r="F30" s="3">
        <f t="shared" si="20"/>
        <v>0.25669226361659941</v>
      </c>
      <c r="G30" s="3">
        <f t="shared" si="20"/>
        <v>0.23447931995303925</v>
      </c>
      <c r="H30" s="3">
        <f t="shared" si="20"/>
        <v>0.21423023390380092</v>
      </c>
      <c r="I30" s="3">
        <f t="shared" si="20"/>
        <v>-10.814288551371472</v>
      </c>
      <c r="J30" s="3">
        <f t="shared" si="20"/>
        <v>0.19215065563836811</v>
      </c>
      <c r="K30" s="3">
        <f t="shared" si="20"/>
        <v>-7.1424181704847108E-3</v>
      </c>
      <c r="L30" s="3">
        <f t="shared" si="20"/>
        <v>-0.52197802197802201</v>
      </c>
      <c r="M30" s="3">
        <f t="shared" si="20"/>
        <v>-0.71272160170727616</v>
      </c>
      <c r="N30" s="3">
        <f t="shared" si="20"/>
        <v>0.12810946512180579</v>
      </c>
      <c r="O30" s="3">
        <f t="shared" si="20"/>
        <v>0.15486177519195943</v>
      </c>
      <c r="P30" s="3">
        <f t="shared" si="20"/>
        <v>2.2066198595787363E-2</v>
      </c>
      <c r="S30" s="3">
        <f t="shared" ref="S30:AB30" si="21">+S22/S21</f>
        <v>0.17239404348399207</v>
      </c>
      <c r="T30" s="3">
        <f t="shared" si="21"/>
        <v>0.2565701177288538</v>
      </c>
      <c r="U30" s="3">
        <f t="shared" si="21"/>
        <v>0.26696654485619248</v>
      </c>
      <c r="V30" s="3">
        <f t="shared" si="21"/>
        <v>0.25750578326591983</v>
      </c>
      <c r="W30" s="3">
        <f t="shared" si="21"/>
        <v>0.27896336542037004</v>
      </c>
      <c r="X30" s="3">
        <f t="shared" si="21"/>
        <v>0.29314600743813835</v>
      </c>
      <c r="Y30" s="3">
        <f t="shared" si="21"/>
        <v>0.26898659439254413</v>
      </c>
      <c r="Z30" s="3">
        <f t="shared" si="21"/>
        <v>0.25621763434930639</v>
      </c>
      <c r="AA30" s="3">
        <f t="shared" si="21"/>
        <v>-0.20392696506063096</v>
      </c>
      <c r="AB30" s="3">
        <f t="shared" si="21"/>
        <v>-0.44712075958047054</v>
      </c>
    </row>
    <row r="31" spans="1:28" s="3" customFormat="1" x14ac:dyDescent="0.2"/>
    <row r="32" spans="1:28" s="10" customFormat="1" x14ac:dyDescent="0.2">
      <c r="A32" s="10" t="s">
        <v>16</v>
      </c>
      <c r="F32" s="10">
        <f t="shared" ref="F32:P32" si="22">+F14/B14-1</f>
        <v>0.1895286546015591</v>
      </c>
      <c r="G32" s="10">
        <f t="shared" si="22"/>
        <v>0.21252843006813804</v>
      </c>
      <c r="H32" s="10">
        <f t="shared" si="22"/>
        <v>3.7882181646575752E-2</v>
      </c>
      <c r="I32" s="10">
        <f t="shared" si="22"/>
        <v>-7.9682717250129764E-2</v>
      </c>
      <c r="J32" s="10">
        <f t="shared" si="22"/>
        <v>-0.18045585853849211</v>
      </c>
      <c r="K32" s="10">
        <f t="shared" si="22"/>
        <v>-0.22276257118401221</v>
      </c>
      <c r="L32" s="10">
        <f t="shared" si="22"/>
        <v>-0.12218643822328445</v>
      </c>
      <c r="M32" s="10">
        <f t="shared" si="22"/>
        <v>-3.8033082580856914E-2</v>
      </c>
      <c r="N32" s="10">
        <f t="shared" si="22"/>
        <v>0.12816977722194123</v>
      </c>
      <c r="O32" s="10">
        <f t="shared" si="22"/>
        <v>0.23435787163160415</v>
      </c>
      <c r="P32" s="10">
        <f t="shared" si="22"/>
        <v>0.17359050445103863</v>
      </c>
      <c r="S32" s="10" t="e">
        <f t="shared" ref="S32:AB32" si="23">+S14/R14-1</f>
        <v>#DIV/0!</v>
      </c>
      <c r="T32" s="10">
        <f t="shared" si="23"/>
        <v>-2.6926982483782114E-2</v>
      </c>
      <c r="U32" s="10">
        <f t="shared" si="23"/>
        <v>6.0465584145705797E-3</v>
      </c>
      <c r="V32" s="10">
        <f t="shared" si="23"/>
        <v>0.18679961872868156</v>
      </c>
      <c r="W32" s="10">
        <f t="shared" si="23"/>
        <v>1.751448362539576E-2</v>
      </c>
      <c r="X32" s="10">
        <f t="shared" si="23"/>
        <v>-5.4848654014663767E-2</v>
      </c>
      <c r="Y32" s="10">
        <f t="shared" si="23"/>
        <v>2.7804177536977503E-2</v>
      </c>
      <c r="Z32" s="10">
        <f t="shared" si="23"/>
        <v>0.18072866582805402</v>
      </c>
      <c r="AA32" s="10">
        <f t="shared" si="23"/>
        <v>8.0923364266004549E-2</v>
      </c>
      <c r="AB32" s="10">
        <f t="shared" si="23"/>
        <v>-0.14325404881875914</v>
      </c>
    </row>
    <row r="34" spans="1:16" x14ac:dyDescent="0.2">
      <c r="A34" s="1" t="s">
        <v>54</v>
      </c>
    </row>
    <row r="35" spans="1:16" x14ac:dyDescent="0.2">
      <c r="A35" s="1" t="s">
        <v>35</v>
      </c>
      <c r="P35" s="1">
        <f>43131.359+60616.598+28.571+9640.598+1185.582</f>
        <v>114602.70799999998</v>
      </c>
    </row>
    <row r="36" spans="1:16" x14ac:dyDescent="0.2">
      <c r="A36" s="1" t="s">
        <v>55</v>
      </c>
      <c r="P36" s="1">
        <f>44692.044+7721.652</f>
        <v>52413.696000000004</v>
      </c>
    </row>
    <row r="37" spans="1:16" x14ac:dyDescent="0.2">
      <c r="A37" s="1" t="s">
        <v>56</v>
      </c>
      <c r="P37" s="1">
        <v>3491.0010000000002</v>
      </c>
    </row>
    <row r="38" spans="1:16" x14ac:dyDescent="0.2">
      <c r="A38" s="1" t="s">
        <v>57</v>
      </c>
      <c r="P38" s="1">
        <v>53356.758999999998</v>
      </c>
    </row>
    <row r="39" spans="1:16" x14ac:dyDescent="0.2">
      <c r="A39" s="1" t="s">
        <v>58</v>
      </c>
      <c r="P39" s="1">
        <v>6197.1270000000004</v>
      </c>
    </row>
    <row r="40" spans="1:16" x14ac:dyDescent="0.2">
      <c r="A40" s="1" t="s">
        <v>59</v>
      </c>
      <c r="P40" s="1">
        <v>0</v>
      </c>
    </row>
    <row r="41" spans="1:16" x14ac:dyDescent="0.2">
      <c r="A41" s="1" t="s">
        <v>60</v>
      </c>
      <c r="P41" s="1">
        <v>12235.974</v>
      </c>
    </row>
    <row r="42" spans="1:16" s="37" customFormat="1" x14ac:dyDescent="0.2">
      <c r="A42" s="37" t="s">
        <v>61</v>
      </c>
      <c r="P42" s="37">
        <v>195028.77299999999</v>
      </c>
    </row>
    <row r="43" spans="1:16" x14ac:dyDescent="0.2">
      <c r="A43" s="1" t="s">
        <v>62</v>
      </c>
      <c r="P43" s="1">
        <v>23077.456999999999</v>
      </c>
    </row>
    <row r="44" spans="1:16" x14ac:dyDescent="0.2">
      <c r="A44" s="1" t="s">
        <v>63</v>
      </c>
      <c r="P44" s="1">
        <v>4028.5149999999999</v>
      </c>
    </row>
    <row r="45" spans="1:16" x14ac:dyDescent="0.2">
      <c r="A45" s="1" t="s">
        <v>64</v>
      </c>
      <c r="P45" s="1">
        <v>13002.2</v>
      </c>
    </row>
    <row r="46" spans="1:16" x14ac:dyDescent="0.2">
      <c r="A46" s="1" t="s">
        <v>65</v>
      </c>
      <c r="P46" s="1">
        <v>13873.107</v>
      </c>
    </row>
    <row r="47" spans="1:16" s="11" customFormat="1" x14ac:dyDescent="0.2">
      <c r="A47" s="11" t="s">
        <v>66</v>
      </c>
      <c r="P47" s="11">
        <f>+SUM(P35:P46)</f>
        <v>491307.31699999998</v>
      </c>
    </row>
    <row r="48" spans="1:16" x14ac:dyDescent="0.2">
      <c r="A48" s="1" t="s">
        <v>67</v>
      </c>
      <c r="P48" s="1">
        <f>12861.787+15533.843+5326.842</f>
        <v>33722.472000000002</v>
      </c>
    </row>
    <row r="49" spans="1:16" x14ac:dyDescent="0.2">
      <c r="A49" s="1" t="s">
        <v>36</v>
      </c>
      <c r="P49" s="1">
        <f>11035.119+3765.437</f>
        <v>14800.556</v>
      </c>
    </row>
    <row r="50" spans="1:16" x14ac:dyDescent="0.2">
      <c r="A50" s="1" t="s">
        <v>68</v>
      </c>
      <c r="P50" s="1">
        <v>1733.635</v>
      </c>
    </row>
    <row r="51" spans="1:16" x14ac:dyDescent="0.2">
      <c r="A51" s="1" t="s">
        <v>69</v>
      </c>
      <c r="P51" s="1">
        <v>861.72299999999996</v>
      </c>
    </row>
    <row r="52" spans="1:16" x14ac:dyDescent="0.2">
      <c r="A52" s="1" t="s">
        <v>70</v>
      </c>
      <c r="P52" s="1">
        <v>28951.863000000001</v>
      </c>
    </row>
    <row r="53" spans="1:16" x14ac:dyDescent="0.2">
      <c r="A53" s="1" t="s">
        <v>8</v>
      </c>
      <c r="P53" s="1">
        <v>4882.42</v>
      </c>
    </row>
    <row r="54" spans="1:16" x14ac:dyDescent="0.2">
      <c r="A54" s="1" t="s">
        <v>71</v>
      </c>
      <c r="P54" s="1">
        <v>2111.7820000000002</v>
      </c>
    </row>
    <row r="55" spans="1:16" x14ac:dyDescent="0.2">
      <c r="A55" s="1" t="s">
        <v>72</v>
      </c>
      <c r="P55" s="1">
        <f>7158.071+3357.773</f>
        <v>10515.844000000001</v>
      </c>
    </row>
    <row r="56" spans="1:16" x14ac:dyDescent="0.2">
      <c r="A56" s="1" t="s">
        <v>73</v>
      </c>
      <c r="P56" s="1">
        <v>1901.646</v>
      </c>
    </row>
    <row r="57" spans="1:16" x14ac:dyDescent="0.2">
      <c r="A57" s="1" t="s">
        <v>74</v>
      </c>
      <c r="P57" s="1">
        <v>0</v>
      </c>
    </row>
    <row r="58" spans="1:16" x14ac:dyDescent="0.2">
      <c r="A58" s="1" t="s">
        <v>76</v>
      </c>
      <c r="P58" s="1">
        <v>19.536999999999999</v>
      </c>
    </row>
    <row r="59" spans="1:16" x14ac:dyDescent="0.2">
      <c r="A59" s="1" t="s">
        <v>77</v>
      </c>
      <c r="P59" s="1">
        <v>487.23899999999998</v>
      </c>
    </row>
    <row r="60" spans="1:16" x14ac:dyDescent="0.2">
      <c r="A60" s="1" t="s">
        <v>64</v>
      </c>
      <c r="P60" s="1">
        <v>539.91399999999999</v>
      </c>
    </row>
    <row r="61" spans="1:16" x14ac:dyDescent="0.2">
      <c r="A61" s="1" t="s">
        <v>78</v>
      </c>
      <c r="P61" s="1">
        <v>4497.3230000000003</v>
      </c>
    </row>
    <row r="62" spans="1:16" s="11" customFormat="1" x14ac:dyDescent="0.2">
      <c r="A62" s="11" t="s">
        <v>75</v>
      </c>
      <c r="P62" s="11">
        <f>+SUM(P48:P61)</f>
        <v>105025.95400000001</v>
      </c>
    </row>
    <row r="63" spans="1:16" x14ac:dyDescent="0.2">
      <c r="A63" s="1" t="s">
        <v>79</v>
      </c>
      <c r="P63" s="1">
        <v>386281.36300000001</v>
      </c>
    </row>
    <row r="64" spans="1:16" x14ac:dyDescent="0.2">
      <c r="A64" s="1" t="s">
        <v>80</v>
      </c>
      <c r="P64" s="1">
        <f>+P63+P62</f>
        <v>491307.31700000004</v>
      </c>
    </row>
    <row r="66" spans="1:16" x14ac:dyDescent="0.2">
      <c r="A66" s="1" t="s">
        <v>81</v>
      </c>
      <c r="F66" s="1">
        <f t="shared" ref="F66:O66" si="24">+SUM(C23:F23)</f>
        <v>42854.516000000011</v>
      </c>
      <c r="G66" s="1">
        <f t="shared" si="24"/>
        <v>44247.287000000018</v>
      </c>
      <c r="H66" s="1">
        <f t="shared" si="24"/>
        <v>42943.375</v>
      </c>
      <c r="I66" s="1">
        <f t="shared" si="24"/>
        <v>48348.610999999983</v>
      </c>
      <c r="J66" s="1">
        <f t="shared" si="24"/>
        <v>38562.088999999971</v>
      </c>
      <c r="K66" s="1">
        <f t="shared" si="24"/>
        <v>29077.397999999968</v>
      </c>
      <c r="L66" s="1">
        <f t="shared" si="24"/>
        <v>25573.297999999977</v>
      </c>
      <c r="M66" s="1">
        <f t="shared" si="24"/>
        <v>14871.416999999994</v>
      </c>
      <c r="N66" s="1">
        <f t="shared" si="24"/>
        <v>20292.117999999988</v>
      </c>
      <c r="O66" s="1">
        <f t="shared" si="24"/>
        <v>28373.034999999985</v>
      </c>
      <c r="P66" s="1">
        <f>+SUM(M23:P23)</f>
        <v>32583.034999999989</v>
      </c>
    </row>
    <row r="67" spans="1:16" s="3" customFormat="1" x14ac:dyDescent="0.2">
      <c r="A67" s="3" t="s">
        <v>82</v>
      </c>
      <c r="P67" s="3">
        <f>+P66/(P36+P37+P38+P39+P40+P41+P42+P44+P45+P46)</f>
        <v>9.2139517047039377E-2</v>
      </c>
    </row>
    <row r="69" spans="1:16" x14ac:dyDescent="0.2">
      <c r="A69" s="1" t="str">
        <f>+A23</f>
        <v>Net income</v>
      </c>
      <c r="N69" s="1">
        <f>+N23</f>
        <v>6479.246999999993</v>
      </c>
      <c r="O69" s="1">
        <f>+O23</f>
        <v>9572.2239999999983</v>
      </c>
      <c r="P69" s="1">
        <f>+P23</f>
        <v>9750</v>
      </c>
    </row>
    <row r="70" spans="1:16" x14ac:dyDescent="0.2">
      <c r="A70" s="1" t="s">
        <v>83</v>
      </c>
      <c r="N70" s="1">
        <v>6754.7079999999996</v>
      </c>
      <c r="O70" s="1">
        <f>16596.053-N70</f>
        <v>9841.3450000000012</v>
      </c>
      <c r="P70" s="1">
        <f>26696.957-SUM(N70:O70)</f>
        <v>10100.903999999999</v>
      </c>
    </row>
    <row r="72" spans="1:16" s="11" customFormat="1" x14ac:dyDescent="0.2">
      <c r="A72" s="11" t="s">
        <v>85</v>
      </c>
      <c r="N72" s="11">
        <v>11866.306</v>
      </c>
      <c r="O72" s="11">
        <f>28761.716-N72</f>
        <v>16895.41</v>
      </c>
      <c r="P72" s="11">
        <f>50960.35-SUM(N72:O72)</f>
        <v>22198.633999999998</v>
      </c>
    </row>
    <row r="74" spans="1:16" s="11" customFormat="1" x14ac:dyDescent="0.2">
      <c r="A74" s="11" t="s">
        <v>84</v>
      </c>
      <c r="N74" s="11">
        <v>-13421.626</v>
      </c>
      <c r="O74" s="11">
        <f>-25362.271-N74</f>
        <v>-11940.645</v>
      </c>
      <c r="P74" s="11">
        <f>-36320.811-SUM(N74:O74)</f>
        <v>-10958.54</v>
      </c>
    </row>
    <row r="76" spans="1:16" s="11" customFormat="1" x14ac:dyDescent="0.2">
      <c r="A76" s="11" t="s">
        <v>86</v>
      </c>
      <c r="N76" s="11">
        <f>+N72+N74</f>
        <v>-1555.3199999999997</v>
      </c>
      <c r="O76" s="11">
        <f>+O72+O74</f>
        <v>4954.7649999999994</v>
      </c>
      <c r="P76" s="11">
        <f>+P72+P74</f>
        <v>11240.093999999997</v>
      </c>
    </row>
    <row r="77" spans="1:16" x14ac:dyDescent="0.2">
      <c r="A77" s="1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2024-11-28T19:12:10Z</dcterms:created>
  <dcterms:modified xsi:type="dcterms:W3CDTF">2024-11-30T17:32:57Z</dcterms:modified>
</cp:coreProperties>
</file>