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Medical Devices\"/>
    </mc:Choice>
  </mc:AlternateContent>
  <xr:revisionPtr revIDLastSave="0" documentId="13_ncr:1_{79FAA044-1680-47EF-B97A-A9C3596AA9A6}" xr6:coauthVersionLast="47" xr6:coauthVersionMax="47" xr10:uidLastSave="{00000000-0000-0000-0000-000000000000}"/>
  <bookViews>
    <workbookView xWindow="120" yWindow="75" windowWidth="14025" windowHeight="15405" activeTab="1" xr2:uid="{AF19C02C-423B-4AC4-A98C-6D872C75A58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2" l="1"/>
  <c r="T19" i="2"/>
  <c r="T16" i="2"/>
  <c r="T30" i="2" s="1"/>
  <c r="W35" i="2"/>
  <c r="V35" i="2"/>
  <c r="X35" i="2"/>
  <c r="U19" i="2"/>
  <c r="U16" i="2"/>
  <c r="U30" i="2" s="1"/>
  <c r="V19" i="2"/>
  <c r="V16" i="2"/>
  <c r="V30" i="2" s="1"/>
  <c r="W19" i="2"/>
  <c r="W16" i="2"/>
  <c r="W30" i="2" s="1"/>
  <c r="AA35" i="2"/>
  <c r="Z35" i="2"/>
  <c r="Y35" i="2"/>
  <c r="X19" i="2"/>
  <c r="X16" i="2"/>
  <c r="X30" i="2" s="1"/>
  <c r="Y19" i="2"/>
  <c r="Y16" i="2"/>
  <c r="Y30" i="2" s="1"/>
  <c r="Z19" i="2"/>
  <c r="Z16" i="2"/>
  <c r="Z30" i="2" s="1"/>
  <c r="AB35" i="2"/>
  <c r="AC35" i="2"/>
  <c r="K35" i="2"/>
  <c r="I35" i="2"/>
  <c r="H35" i="2"/>
  <c r="G35" i="2"/>
  <c r="F28" i="2"/>
  <c r="F25" i="2"/>
  <c r="F23" i="2"/>
  <c r="F22" i="2"/>
  <c r="F21" i="2"/>
  <c r="F18" i="2"/>
  <c r="F17" i="2"/>
  <c r="F15" i="2"/>
  <c r="F14" i="2"/>
  <c r="J35" i="2" s="1"/>
  <c r="AA19" i="2"/>
  <c r="AA16" i="2"/>
  <c r="AA30" i="2" s="1"/>
  <c r="AB19" i="2"/>
  <c r="AB16" i="2"/>
  <c r="AB30" i="2" s="1"/>
  <c r="AC19" i="2"/>
  <c r="AC16" i="2"/>
  <c r="AC30" i="2" s="1"/>
  <c r="E19" i="2"/>
  <c r="E16" i="2"/>
  <c r="E30" i="2" s="1"/>
  <c r="D19" i="2"/>
  <c r="D16" i="2"/>
  <c r="G19" i="2"/>
  <c r="G16" i="2"/>
  <c r="C19" i="2"/>
  <c r="C16" i="2"/>
  <c r="H19" i="2"/>
  <c r="H16" i="2"/>
  <c r="L35" i="2"/>
  <c r="L19" i="2"/>
  <c r="L16" i="2"/>
  <c r="I19" i="2"/>
  <c r="I16" i="2"/>
  <c r="M35" i="2"/>
  <c r="M19" i="2"/>
  <c r="M16" i="2"/>
  <c r="M30" i="2" s="1"/>
  <c r="N51" i="2"/>
  <c r="N53" i="2" s="1"/>
  <c r="N55" i="2" s="1"/>
  <c r="N43" i="2"/>
  <c r="N38" i="2"/>
  <c r="J19" i="2"/>
  <c r="J16" i="2"/>
  <c r="N35" i="2"/>
  <c r="N19" i="2"/>
  <c r="N16" i="2"/>
  <c r="N30" i="2" s="1"/>
  <c r="O78" i="2"/>
  <c r="O72" i="2"/>
  <c r="O62" i="2"/>
  <c r="O67" i="2" s="1"/>
  <c r="O82" i="2" s="1"/>
  <c r="O51" i="2"/>
  <c r="O53" i="2" s="1"/>
  <c r="O55" i="2" s="1"/>
  <c r="O43" i="2"/>
  <c r="O38" i="2"/>
  <c r="O35" i="2"/>
  <c r="K19" i="2"/>
  <c r="K16" i="2"/>
  <c r="K30" i="2" s="1"/>
  <c r="O19" i="2"/>
  <c r="O16" i="2"/>
  <c r="O30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J8" i="1"/>
  <c r="J7" i="1"/>
  <c r="J6" i="1"/>
  <c r="J9" i="1" l="1"/>
  <c r="J10" i="1" s="1"/>
  <c r="F19" i="2"/>
  <c r="O20" i="2"/>
  <c r="O24" i="2" s="1"/>
  <c r="O26" i="2" s="1"/>
  <c r="N37" i="2"/>
  <c r="T20" i="2"/>
  <c r="U20" i="2"/>
  <c r="V20" i="2"/>
  <c r="W20" i="2"/>
  <c r="X20" i="2"/>
  <c r="Y20" i="2"/>
  <c r="Z20" i="2"/>
  <c r="O45" i="2"/>
  <c r="D20" i="2"/>
  <c r="D31" i="2" s="1"/>
  <c r="O80" i="2"/>
  <c r="O37" i="2"/>
  <c r="AE40" i="2" s="1"/>
  <c r="F16" i="2"/>
  <c r="F30" i="2" s="1"/>
  <c r="N45" i="2"/>
  <c r="AA20" i="2"/>
  <c r="AB20" i="2"/>
  <c r="AC20" i="2"/>
  <c r="E20" i="2"/>
  <c r="D30" i="2"/>
  <c r="C20" i="2"/>
  <c r="C24" i="2" s="1"/>
  <c r="G20" i="2"/>
  <c r="G31" i="2" s="1"/>
  <c r="G30" i="2"/>
  <c r="C30" i="2"/>
  <c r="H20" i="2"/>
  <c r="H31" i="2" s="1"/>
  <c r="H30" i="2"/>
  <c r="L20" i="2"/>
  <c r="L24" i="2" s="1"/>
  <c r="L30" i="2"/>
  <c r="I20" i="2"/>
  <c r="I24" i="2" s="1"/>
  <c r="I31" i="2"/>
  <c r="I30" i="2"/>
  <c r="M20" i="2"/>
  <c r="J20" i="2"/>
  <c r="J24" i="2" s="1"/>
  <c r="J30" i="2"/>
  <c r="N20" i="2"/>
  <c r="K20" i="2"/>
  <c r="K31" i="2" s="1"/>
  <c r="O33" i="2" l="1"/>
  <c r="D24" i="2"/>
  <c r="D26" i="2" s="1"/>
  <c r="H24" i="2"/>
  <c r="H33" i="2" s="1"/>
  <c r="O31" i="2"/>
  <c r="T31" i="2"/>
  <c r="T24" i="2"/>
  <c r="U31" i="2"/>
  <c r="U24" i="2"/>
  <c r="V31" i="2"/>
  <c r="V24" i="2"/>
  <c r="W31" i="2"/>
  <c r="W24" i="2"/>
  <c r="X31" i="2"/>
  <c r="X24" i="2"/>
  <c r="Y31" i="2"/>
  <c r="Y24" i="2"/>
  <c r="Z31" i="2"/>
  <c r="Z24" i="2"/>
  <c r="C31" i="2"/>
  <c r="J31" i="2"/>
  <c r="F20" i="2"/>
  <c r="F24" i="2" s="1"/>
  <c r="F31" i="2"/>
  <c r="L31" i="2"/>
  <c r="O60" i="2"/>
  <c r="O27" i="2"/>
  <c r="O32" i="2"/>
  <c r="AA31" i="2"/>
  <c r="AA24" i="2"/>
  <c r="AB31" i="2"/>
  <c r="AB24" i="2"/>
  <c r="AC31" i="2"/>
  <c r="AC24" i="2"/>
  <c r="E31" i="2"/>
  <c r="E24" i="2"/>
  <c r="G24" i="2"/>
  <c r="G33" i="2" s="1"/>
  <c r="C33" i="2"/>
  <c r="C26" i="2"/>
  <c r="L33" i="2"/>
  <c r="L26" i="2"/>
  <c r="I33" i="2"/>
  <c r="I26" i="2"/>
  <c r="M31" i="2"/>
  <c r="M24" i="2"/>
  <c r="J33" i="2"/>
  <c r="J26" i="2"/>
  <c r="N31" i="2"/>
  <c r="N24" i="2"/>
  <c r="K24" i="2"/>
  <c r="K33" i="2" s="1"/>
  <c r="D33" i="2" l="1"/>
  <c r="H26" i="2"/>
  <c r="H32" i="2" s="1"/>
  <c r="T33" i="2"/>
  <c r="T26" i="2"/>
  <c r="U33" i="2"/>
  <c r="U26" i="2"/>
  <c r="V33" i="2"/>
  <c r="V26" i="2"/>
  <c r="W33" i="2"/>
  <c r="W26" i="2"/>
  <c r="X33" i="2"/>
  <c r="X26" i="2"/>
  <c r="Y33" i="2"/>
  <c r="Y26" i="2"/>
  <c r="Z33" i="2"/>
  <c r="Z26" i="2"/>
  <c r="F26" i="2"/>
  <c r="F33" i="2"/>
  <c r="AA33" i="2"/>
  <c r="AA26" i="2"/>
  <c r="AB33" i="2"/>
  <c r="AB26" i="2"/>
  <c r="AC33" i="2"/>
  <c r="AC26" i="2"/>
  <c r="E33" i="2"/>
  <c r="E26" i="2"/>
  <c r="D27" i="2"/>
  <c r="D32" i="2"/>
  <c r="G26" i="2"/>
  <c r="C32" i="2"/>
  <c r="C27" i="2"/>
  <c r="L32" i="2"/>
  <c r="L27" i="2"/>
  <c r="I27" i="2"/>
  <c r="I32" i="2"/>
  <c r="M33" i="2"/>
  <c r="M26" i="2"/>
  <c r="J32" i="2"/>
  <c r="J27" i="2"/>
  <c r="N33" i="2"/>
  <c r="N26" i="2"/>
  <c r="K26" i="2"/>
  <c r="H27" i="2" l="1"/>
  <c r="N57" i="2"/>
  <c r="N58" i="2" s="1"/>
  <c r="O57" i="2"/>
  <c r="O58" i="2" s="1"/>
  <c r="AE39" i="2"/>
  <c r="AE41" i="2" s="1"/>
  <c r="AE42" i="2" s="1"/>
  <c r="AE44" i="2" s="1"/>
  <c r="I57" i="2"/>
  <c r="L57" i="2"/>
  <c r="G32" i="2"/>
  <c r="J57" i="2"/>
  <c r="H57" i="2"/>
  <c r="K57" i="2"/>
  <c r="G57" i="2"/>
  <c r="M57" i="2"/>
  <c r="T32" i="2"/>
  <c r="T27" i="2"/>
  <c r="U32" i="2"/>
  <c r="U27" i="2"/>
  <c r="V32" i="2"/>
  <c r="V27" i="2"/>
  <c r="W32" i="2"/>
  <c r="W27" i="2"/>
  <c r="X32" i="2"/>
  <c r="X27" i="2"/>
  <c r="Y32" i="2"/>
  <c r="Y27" i="2"/>
  <c r="Z32" i="2"/>
  <c r="Z27" i="2"/>
  <c r="F27" i="2"/>
  <c r="F32" i="2"/>
  <c r="K32" i="2"/>
  <c r="K27" i="2"/>
  <c r="AA32" i="2"/>
  <c r="AA27" i="2"/>
  <c r="AB32" i="2"/>
  <c r="AB27" i="2"/>
  <c r="AC32" i="2"/>
  <c r="AC27" i="2"/>
  <c r="E32" i="2"/>
  <c r="E27" i="2"/>
  <c r="G27" i="2"/>
  <c r="M32" i="2"/>
  <c r="M27" i="2"/>
  <c r="N32" i="2"/>
  <c r="N27" i="2"/>
</calcChain>
</file>

<file path=xl/sharedStrings.xml><?xml version="1.0" encoding="utf-8"?>
<sst xmlns="http://schemas.openxmlformats.org/spreadsheetml/2006/main" count="130" uniqueCount="115">
  <si>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</si>
  <si>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</si>
  <si>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</si>
  <si>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</si>
  <si>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</si>
  <si>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</si>
  <si>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</si>
  <si>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</si>
  <si>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</si>
  <si>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</si>
  <si>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SG&amp;A</t>
  </si>
  <si>
    <t>OpEx</t>
  </si>
  <si>
    <t>OpIn</t>
  </si>
  <si>
    <t>Interest expense</t>
  </si>
  <si>
    <t>Interest income</t>
  </si>
  <si>
    <t>Other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</si>
  <si>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</si>
  <si>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</si>
  <si>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</si>
  <si>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</si>
  <si>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</si>
  <si>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</si>
  <si>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</si>
  <si>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</si>
  <si>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</si>
  <si>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</si>
  <si>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</si>
  <si>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</si>
  <si>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</si>
  <si>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</si>
  <si>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</si>
  <si>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</si>
  <si>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</si>
  <si>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</si>
  <si>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</si>
  <si>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</si>
  <si>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</si>
  <si>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</si>
  <si>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</si>
  <si>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</si>
  <si>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</si>
  <si>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Net cash</t>
  </si>
  <si>
    <t>A/R</t>
  </si>
  <si>
    <t>Inventories</t>
  </si>
  <si>
    <t>Prepaid</t>
  </si>
  <si>
    <t>PP&amp;E</t>
  </si>
  <si>
    <t>Goodwill</t>
  </si>
  <si>
    <t>DT</t>
  </si>
  <si>
    <t>Assets</t>
  </si>
  <si>
    <t>A/P</t>
  </si>
  <si>
    <t>Salaries</t>
  </si>
  <si>
    <t>Accrued liabilties</t>
  </si>
  <si>
    <t>Dividends</t>
  </si>
  <si>
    <t>Liabilties</t>
  </si>
  <si>
    <t>S/E</t>
  </si>
  <si>
    <t>L+S/E</t>
  </si>
  <si>
    <t>Model NI</t>
  </si>
  <si>
    <t>Reported NI</t>
  </si>
  <si>
    <t>D&amp;A</t>
  </si>
  <si>
    <t>SBC</t>
  </si>
  <si>
    <t>CFFO</t>
  </si>
  <si>
    <t>CapEx</t>
  </si>
  <si>
    <t>Investments</t>
  </si>
  <si>
    <t>CFFI</t>
  </si>
  <si>
    <t>Borrowings</t>
  </si>
  <si>
    <t>Buybacks</t>
  </si>
  <si>
    <t>ESOP</t>
  </si>
  <si>
    <t>CFFF</t>
  </si>
  <si>
    <t>FX</t>
  </si>
  <si>
    <t>CIC</t>
  </si>
  <si>
    <t>CFFO+CapEx-SBC</t>
  </si>
  <si>
    <t>Abbott Labratories</t>
  </si>
  <si>
    <t>ABT</t>
  </si>
  <si>
    <t>Employees</t>
  </si>
  <si>
    <t>Cash flow  TTM</t>
  </si>
  <si>
    <t>ROIC</t>
  </si>
  <si>
    <t>Medical Devices</t>
  </si>
  <si>
    <t>https://www.sec.gov/ix?doc=/Archives/edgar/data/0000001800/000162828024005348/abt-20231231.htm</t>
  </si>
  <si>
    <t>Discount rate</t>
  </si>
  <si>
    <t>Terminal value</t>
  </si>
  <si>
    <t>NPV</t>
  </si>
  <si>
    <t>Total value</t>
  </si>
  <si>
    <t>Per share</t>
  </si>
  <si>
    <t>Current price</t>
  </si>
  <si>
    <t>Upside</t>
  </si>
  <si>
    <t>U.S.</t>
  </si>
  <si>
    <t>Nutrition</t>
  </si>
  <si>
    <t>Diagnostics</t>
  </si>
  <si>
    <t>Established Pharma</t>
  </si>
  <si>
    <t>International</t>
  </si>
  <si>
    <t>gastroenterology products</t>
  </si>
  <si>
    <t>women's health products</t>
  </si>
  <si>
    <t>cardiovascular metabolic products</t>
  </si>
  <si>
    <t>pain and central nervous system products</t>
  </si>
  <si>
    <t>repiratory drugs and vaccines</t>
  </si>
  <si>
    <t>Established Pharmaceutical Products:</t>
  </si>
  <si>
    <t>Diagnostic Products:</t>
  </si>
  <si>
    <t>core laboratory and transfusion medicine systems in areas of immunoassay</t>
  </si>
  <si>
    <t>molecular diagnostics polymerase chain reaction (PCR instrument systems</t>
  </si>
  <si>
    <t>point-of-care systems</t>
  </si>
  <si>
    <t>rapid diagnostics lateral flow testing products in the area of infectious diseases such as SARS-CoV-2</t>
  </si>
  <si>
    <t>informatics and automation solutions for ise in laboratories</t>
  </si>
  <si>
    <t>Nutritional Products:</t>
  </si>
  <si>
    <t>Medical Devices:</t>
  </si>
  <si>
    <t>various forms of infant formula and  follow-on formula</t>
  </si>
  <si>
    <t>adult and other pediatric nutritional products</t>
  </si>
  <si>
    <t>nutritional products used in enteral feeding in health care institutions</t>
  </si>
  <si>
    <t>rhythm management products</t>
  </si>
  <si>
    <t>electrophysiology products</t>
  </si>
  <si>
    <t>heart failure related products</t>
  </si>
  <si>
    <t>vascular products</t>
  </si>
  <si>
    <t>structural heart products</t>
  </si>
  <si>
    <t>continuous glucose and blood glucose monitoring systems</t>
  </si>
  <si>
    <t>neuromodulation products</t>
  </si>
  <si>
    <t>Segments and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</si>
</sst>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horizontal="left"/>
    </xf>
    <xf numFmtId="0" fontId="1" fillId="0" borderId="0" xfId="0" applyFont="1"/>
    <xf numFmtId="0" fontId="2" fillId="0" borderId="0" xfId="1"/>
    <xf numFmtId="3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38100</xdr:rowOff>
    </xdr:from>
    <xdr:to>
      <xdr:col>15</xdr:col>
      <xdr:colOff>19050</xdr:colOff>
      <xdr:row>86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C413CD-C3B7-9978-828E-3B524D5FB4BB}"/>
            </a:ext>
          </a:extLst>
        </xdr:cNvPr>
        <xdr:cNvCxnSpPr/>
      </xdr:nvCxnSpPr>
      <xdr:spPr>
        <a:xfrm>
          <a:off x="9277350" y="38100"/>
          <a:ext cx="0" cy="1219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0</xdr:row>
      <xdr:rowOff>0</xdr:rowOff>
    </xdr:from>
    <xdr:to>
      <xdr:col>29</xdr:col>
      <xdr:colOff>19050</xdr:colOff>
      <xdr:row>85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B280353-0FA9-4E19-9CD9-9609205F93C4}"/>
            </a:ext>
          </a:extLst>
        </xdr:cNvPr>
        <xdr:cNvCxnSpPr/>
      </xdr:nvCxnSpPr>
      <xdr:spPr>
        <a:xfrm>
          <a:off x="17811750" y="0"/>
          <a:ext cx="0" cy="1211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ix?doc=/Archives/edgar/data/0000001800/000162828024005348/abt-2023123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6788-C768-4E6B-B670-32995C76F5BD}">
  <dimension ref="C4:J38"/>
  <sheetViews>
    <sheetView workbookViewId="0">
      <selection activeCell="C6" sqref="C6"/>
    </sheetView>
  </sheetViews>
  <sheetFormatPr defaultRowHeight="12.75" x14ac:dyDescent="0.2"/>
  <cols>
    <col min="1" max="1" width="2.85546875" customWidth="1"/>
  </cols>
  <sheetData>
    <row r="4" spans="3:10" x14ac:dyDescent="0.2">
      <c r="C4" s="9" t="s">
        <v>114</v>
      </c>
      <c r="I4" t="s">
        <v>0</v>
      </c>
      <c r="J4">
        <v>104</v>
      </c>
    </row>
    <row r="5" spans="3:10" x14ac:dyDescent="0.2">
      <c r="C5" t="s">
        <v>95</v>
      </c>
      <c r="I5" t="s">
        <v>1</v>
      </c>
      <c r="J5" s="1">
        <v>1739.6337590000001</v>
      </c>
    </row>
    <row r="6" spans="3:10" x14ac:dyDescent="0.2">
      <c r="C6" s="12" t="s">
        <v>90</v>
      </c>
      <c r="I6" t="s">
        <v>2</v>
      </c>
      <c r="J6" s="1">
        <f>+J4*J5</f>
        <v>180921.910936</v>
      </c>
    </row>
    <row r="7" spans="3:10" x14ac:dyDescent="0.2">
      <c r="C7" s="12" t="s">
        <v>91</v>
      </c>
      <c r="I7" t="s">
        <v>3</v>
      </c>
      <c r="J7" s="1">
        <f>6284+367+818</f>
        <v>7469</v>
      </c>
    </row>
    <row r="8" spans="3:10" x14ac:dyDescent="0.2">
      <c r="C8" s="12" t="s">
        <v>92</v>
      </c>
      <c r="I8" t="s">
        <v>4</v>
      </c>
      <c r="J8" s="1">
        <f>2010+12576</f>
        <v>14586</v>
      </c>
    </row>
    <row r="9" spans="3:10" x14ac:dyDescent="0.2">
      <c r="C9" s="12" t="s">
        <v>93</v>
      </c>
      <c r="I9" t="s">
        <v>5</v>
      </c>
      <c r="J9" s="1">
        <f>+J6-J7+J8</f>
        <v>188038.910936</v>
      </c>
    </row>
    <row r="10" spans="3:10" x14ac:dyDescent="0.2">
      <c r="C10" s="12" t="s">
        <v>94</v>
      </c>
      <c r="J10" s="6">
        <f>+J9/7176</f>
        <v>26.20386161315496</v>
      </c>
    </row>
    <row r="11" spans="3:10" x14ac:dyDescent="0.2">
      <c r="C11" t="s">
        <v>96</v>
      </c>
    </row>
    <row r="12" spans="3:10" x14ac:dyDescent="0.2">
      <c r="C12" s="12" t="s">
        <v>97</v>
      </c>
    </row>
    <row r="13" spans="3:10" x14ac:dyDescent="0.2">
      <c r="C13" s="12" t="s">
        <v>98</v>
      </c>
    </row>
    <row r="14" spans="3:10" x14ac:dyDescent="0.2">
      <c r="C14" s="12" t="s">
        <v>99</v>
      </c>
    </row>
    <row r="15" spans="3:10" x14ac:dyDescent="0.2">
      <c r="C15" s="12" t="s">
        <v>100</v>
      </c>
    </row>
    <row r="16" spans="3:10" x14ac:dyDescent="0.2">
      <c r="C16" s="12" t="s">
        <v>101</v>
      </c>
    </row>
    <row r="17" spans="3:3" x14ac:dyDescent="0.2">
      <c r="C17" t="s">
        <v>102</v>
      </c>
    </row>
    <row r="18" spans="3:3" x14ac:dyDescent="0.2">
      <c r="C18" s="12" t="s">
        <v>104</v>
      </c>
    </row>
    <row r="19" spans="3:3" x14ac:dyDescent="0.2">
      <c r="C19" s="12" t="s">
        <v>105</v>
      </c>
    </row>
    <row r="20" spans="3:3" x14ac:dyDescent="0.2">
      <c r="C20" s="12" t="s">
        <v>106</v>
      </c>
    </row>
    <row r="21" spans="3:3" x14ac:dyDescent="0.2">
      <c r="C21" t="s">
        <v>103</v>
      </c>
    </row>
    <row r="22" spans="3:3" x14ac:dyDescent="0.2">
      <c r="C22" s="12" t="s">
        <v>107</v>
      </c>
    </row>
    <row r="23" spans="3:3" x14ac:dyDescent="0.2">
      <c r="C23" s="12" t="s">
        <v>108</v>
      </c>
    </row>
    <row r="24" spans="3:3" x14ac:dyDescent="0.2">
      <c r="C24" s="12" t="s">
        <v>109</v>
      </c>
    </row>
    <row r="25" spans="3:3" x14ac:dyDescent="0.2">
      <c r="C25" s="12" t="s">
        <v>110</v>
      </c>
    </row>
    <row r="26" spans="3:3" x14ac:dyDescent="0.2">
      <c r="C26" s="12" t="s">
        <v>111</v>
      </c>
    </row>
    <row r="27" spans="3:3" x14ac:dyDescent="0.2">
      <c r="C27" s="12" t="s">
        <v>112</v>
      </c>
    </row>
    <row r="28" spans="3:3" x14ac:dyDescent="0.2">
      <c r="C28" s="12" t="s">
        <v>113</v>
      </c>
    </row>
    <row r="38" spans="3:3" x14ac:dyDescent="0.2">
      <c r="C38" s="10" t="s">
        <v>77</v>
      </c>
    </row>
  </sheetData>
  <hyperlinks>
    <hyperlink ref="C38" r:id="rId1" xr:uid="{9F5E254A-37A0-45C1-98F6-B799E337B8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FF8C-3FED-41EE-BF46-0B7E377C31FC}">
  <dimension ref="B1:AN84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Q23" sqref="Q23"/>
    </sheetView>
  </sheetViews>
  <sheetFormatPr defaultRowHeight="12.75" x14ac:dyDescent="0.2"/>
  <cols>
    <col min="1" max="1" width="2.5703125" style="1" customWidth="1"/>
    <col min="2" max="2" width="17.42578125" style="1" bestFit="1" customWidth="1"/>
    <col min="3" max="29" width="9.140625" style="1"/>
    <col min="30" max="30" width="12.7109375" style="1" bestFit="1" customWidth="1"/>
    <col min="31" max="16384" width="9.140625" style="1"/>
  </cols>
  <sheetData>
    <row r="1" spans="2:40" x14ac:dyDescent="0.2">
      <c r="B1" s="1" t="s">
        <v>71</v>
      </c>
    </row>
    <row r="2" spans="2:40" s="3" customFormat="1" x14ac:dyDescent="0.2">
      <c r="B2" s="8" t="s">
        <v>72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T2" s="4">
        <v>2014</v>
      </c>
      <c r="U2" s="4">
        <f>+T2+1</f>
        <v>2015</v>
      </c>
      <c r="V2" s="4">
        <f t="shared" ref="V2:AN2" si="0">+U2+1</f>
        <v>2016</v>
      </c>
      <c r="W2" s="4">
        <f t="shared" si="0"/>
        <v>2017</v>
      </c>
      <c r="X2" s="4">
        <f t="shared" si="0"/>
        <v>2018</v>
      </c>
      <c r="Y2" s="4">
        <f t="shared" si="0"/>
        <v>2019</v>
      </c>
      <c r="Z2" s="4">
        <f t="shared" si="0"/>
        <v>2020</v>
      </c>
      <c r="AA2" s="4">
        <f t="shared" si="0"/>
        <v>2021</v>
      </c>
      <c r="AB2" s="4">
        <f t="shared" si="0"/>
        <v>2022</v>
      </c>
      <c r="AC2" s="4">
        <f t="shared" si="0"/>
        <v>2023</v>
      </c>
      <c r="AD2" s="4">
        <f t="shared" si="0"/>
        <v>2024</v>
      </c>
      <c r="AE2" s="4">
        <f t="shared" si="0"/>
        <v>2025</v>
      </c>
      <c r="AF2" s="4">
        <f t="shared" si="0"/>
        <v>2026</v>
      </c>
      <c r="AG2" s="4">
        <f t="shared" si="0"/>
        <v>2027</v>
      </c>
      <c r="AH2" s="4">
        <f t="shared" si="0"/>
        <v>2028</v>
      </c>
      <c r="AI2" s="4">
        <f t="shared" si="0"/>
        <v>2029</v>
      </c>
      <c r="AJ2" s="4">
        <f t="shared" si="0"/>
        <v>2030</v>
      </c>
      <c r="AK2" s="4">
        <f t="shared" si="0"/>
        <v>2031</v>
      </c>
      <c r="AL2" s="4">
        <f t="shared" si="0"/>
        <v>2032</v>
      </c>
      <c r="AM2" s="4">
        <f t="shared" si="0"/>
        <v>2033</v>
      </c>
      <c r="AN2" s="4">
        <f t="shared" si="0"/>
        <v>2034</v>
      </c>
    </row>
    <row r="3" spans="2:40" s="3" customFormat="1" x14ac:dyDescent="0.2">
      <c r="B3" s="8" t="s">
        <v>85</v>
      </c>
      <c r="O3" s="3">
        <v>3846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2:40" s="3" customFormat="1" x14ac:dyDescent="0.2">
      <c r="B4" s="11" t="s">
        <v>86</v>
      </c>
      <c r="O4" s="3">
        <v>878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2:40" s="3" customFormat="1" x14ac:dyDescent="0.2">
      <c r="B5" s="11" t="s">
        <v>87</v>
      </c>
      <c r="O5" s="3">
        <v>931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2:40" s="3" customFormat="1" x14ac:dyDescent="0.2">
      <c r="B6" s="11" t="s">
        <v>88</v>
      </c>
      <c r="O6" s="3">
        <v>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2:40" s="3" customFormat="1" x14ac:dyDescent="0.2">
      <c r="B7" s="11" t="s">
        <v>76</v>
      </c>
      <c r="O7" s="3">
        <v>2034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2:40" s="3" customFormat="1" x14ac:dyDescent="0.2">
      <c r="B8" s="8" t="s">
        <v>89</v>
      </c>
      <c r="O8" s="3">
        <v>6118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2:40" s="3" customFormat="1" x14ac:dyDescent="0.2">
      <c r="B9" s="11" t="s">
        <v>86</v>
      </c>
      <c r="O9" s="3">
        <v>1190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2:40" s="3" customFormat="1" x14ac:dyDescent="0.2">
      <c r="B10" s="11" t="s">
        <v>87</v>
      </c>
      <c r="O10" s="3">
        <v>1283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2:40" s="3" customFormat="1" x14ac:dyDescent="0.2">
      <c r="B11" s="11" t="s">
        <v>88</v>
      </c>
      <c r="O11" s="3">
        <v>1226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2:40" s="3" customFormat="1" x14ac:dyDescent="0.2">
      <c r="B12" s="11" t="s">
        <v>76</v>
      </c>
      <c r="O12" s="3">
        <v>2419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2:40" s="3" customFormat="1" x14ac:dyDescent="0.2">
      <c r="B13" s="8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2:40" s="7" customFormat="1" x14ac:dyDescent="0.2">
      <c r="B14" s="7" t="s">
        <v>6</v>
      </c>
      <c r="C14" s="7">
        <v>10456</v>
      </c>
      <c r="D14" s="7">
        <v>10223</v>
      </c>
      <c r="E14" s="7">
        <v>10928</v>
      </c>
      <c r="F14" s="7">
        <f>+AA14-SUM(C14:E14)</f>
        <v>11468</v>
      </c>
      <c r="G14" s="7">
        <v>11895</v>
      </c>
      <c r="H14" s="7">
        <v>11257</v>
      </c>
      <c r="I14" s="7">
        <v>10410</v>
      </c>
      <c r="J14" s="7">
        <v>10091</v>
      </c>
      <c r="K14" s="7">
        <v>9747</v>
      </c>
      <c r="L14" s="7">
        <v>9978</v>
      </c>
      <c r="M14" s="7">
        <v>10143</v>
      </c>
      <c r="N14" s="7">
        <v>10241</v>
      </c>
      <c r="O14" s="7">
        <v>9964</v>
      </c>
      <c r="T14" s="7">
        <v>20247</v>
      </c>
      <c r="U14" s="7">
        <v>20405</v>
      </c>
      <c r="V14" s="7">
        <v>20853</v>
      </c>
      <c r="W14" s="7">
        <v>27390</v>
      </c>
      <c r="X14" s="7">
        <v>30578</v>
      </c>
      <c r="Y14" s="7">
        <v>31904</v>
      </c>
      <c r="Z14" s="7">
        <v>34608</v>
      </c>
      <c r="AA14" s="7">
        <v>43075</v>
      </c>
      <c r="AB14" s="7">
        <v>43653</v>
      </c>
      <c r="AC14" s="7">
        <v>40109</v>
      </c>
    </row>
    <row r="15" spans="2:40" x14ac:dyDescent="0.2">
      <c r="B15" s="1" t="s">
        <v>7</v>
      </c>
      <c r="C15" s="1">
        <v>4401</v>
      </c>
      <c r="D15" s="1">
        <v>4947</v>
      </c>
      <c r="E15" s="1">
        <v>4423</v>
      </c>
      <c r="F15" s="1">
        <f>+AA15-SUM(C15:E15)</f>
        <v>4766</v>
      </c>
      <c r="G15" s="1">
        <v>4987</v>
      </c>
      <c r="H15" s="1">
        <v>4933</v>
      </c>
      <c r="I15" s="1">
        <v>4629</v>
      </c>
      <c r="J15" s="1">
        <v>4593</v>
      </c>
      <c r="K15" s="1">
        <v>4331</v>
      </c>
      <c r="L15" s="1">
        <v>4483</v>
      </c>
      <c r="M15" s="1">
        <v>4605</v>
      </c>
      <c r="N15" s="1">
        <v>4556</v>
      </c>
      <c r="O15" s="1">
        <v>4463</v>
      </c>
      <c r="T15" s="1">
        <v>9218</v>
      </c>
      <c r="U15" s="1">
        <v>8747</v>
      </c>
      <c r="V15" s="1">
        <v>9024</v>
      </c>
      <c r="W15" s="1">
        <v>12337</v>
      </c>
      <c r="X15" s="1">
        <v>12706</v>
      </c>
      <c r="Y15" s="1">
        <v>13231</v>
      </c>
      <c r="Z15" s="1">
        <v>15003</v>
      </c>
      <c r="AA15" s="1">
        <v>18537</v>
      </c>
      <c r="AB15" s="1">
        <v>19142</v>
      </c>
      <c r="AC15" s="1">
        <v>17975</v>
      </c>
    </row>
    <row r="16" spans="2:40" x14ac:dyDescent="0.2">
      <c r="B16" s="1" t="s">
        <v>8</v>
      </c>
      <c r="C16" s="1">
        <f t="shared" ref="C16:O16" si="1">+C14-C15</f>
        <v>6055</v>
      </c>
      <c r="D16" s="1">
        <f t="shared" si="1"/>
        <v>5276</v>
      </c>
      <c r="E16" s="1">
        <f t="shared" si="1"/>
        <v>6505</v>
      </c>
      <c r="F16" s="1">
        <f t="shared" si="1"/>
        <v>6702</v>
      </c>
      <c r="G16" s="1">
        <f t="shared" si="1"/>
        <v>6908</v>
      </c>
      <c r="H16" s="1">
        <f t="shared" si="1"/>
        <v>6324</v>
      </c>
      <c r="I16" s="1">
        <f t="shared" si="1"/>
        <v>5781</v>
      </c>
      <c r="J16" s="1">
        <f t="shared" si="1"/>
        <v>5498</v>
      </c>
      <c r="K16" s="1">
        <f t="shared" si="1"/>
        <v>5416</v>
      </c>
      <c r="L16" s="1">
        <f t="shared" si="1"/>
        <v>5495</v>
      </c>
      <c r="M16" s="1">
        <f t="shared" si="1"/>
        <v>5538</v>
      </c>
      <c r="N16" s="1">
        <f t="shared" si="1"/>
        <v>5685</v>
      </c>
      <c r="O16" s="1">
        <f t="shared" si="1"/>
        <v>5501</v>
      </c>
      <c r="T16" s="1">
        <f t="shared" ref="T16:AC16" si="2">+T14-T15</f>
        <v>11029</v>
      </c>
      <c r="U16" s="1">
        <f t="shared" si="2"/>
        <v>11658</v>
      </c>
      <c r="V16" s="1">
        <f t="shared" si="2"/>
        <v>11829</v>
      </c>
      <c r="W16" s="1">
        <f t="shared" si="2"/>
        <v>15053</v>
      </c>
      <c r="X16" s="1">
        <f t="shared" si="2"/>
        <v>17872</v>
      </c>
      <c r="Y16" s="1">
        <f t="shared" si="2"/>
        <v>18673</v>
      </c>
      <c r="Z16" s="1">
        <f t="shared" si="2"/>
        <v>19605</v>
      </c>
      <c r="AA16" s="1">
        <f t="shared" si="2"/>
        <v>24538</v>
      </c>
      <c r="AB16" s="1">
        <f t="shared" si="2"/>
        <v>24511</v>
      </c>
      <c r="AC16" s="1">
        <f t="shared" si="2"/>
        <v>22134</v>
      </c>
    </row>
    <row r="17" spans="2:29" x14ac:dyDescent="0.2">
      <c r="B17" s="1" t="s">
        <v>9</v>
      </c>
      <c r="C17" s="1">
        <v>654</v>
      </c>
      <c r="D17" s="1">
        <v>654</v>
      </c>
      <c r="E17" s="1">
        <v>672</v>
      </c>
      <c r="F17" s="1">
        <f>+AA17-SUM(C17:E17)</f>
        <v>762</v>
      </c>
      <c r="G17" s="1">
        <v>697</v>
      </c>
      <c r="H17" s="1">
        <v>684</v>
      </c>
      <c r="I17" s="1">
        <v>782</v>
      </c>
      <c r="J17" s="1">
        <v>725</v>
      </c>
      <c r="K17" s="1">
        <v>654</v>
      </c>
      <c r="L17" s="1">
        <v>715</v>
      </c>
      <c r="M17" s="1">
        <v>672</v>
      </c>
      <c r="N17" s="1">
        <v>700</v>
      </c>
      <c r="O17" s="1">
        <v>684</v>
      </c>
      <c r="T17" s="1">
        <v>1345</v>
      </c>
      <c r="U17" s="1">
        <v>1405</v>
      </c>
      <c r="V17" s="1">
        <v>1422</v>
      </c>
      <c r="W17" s="1">
        <v>2235</v>
      </c>
      <c r="X17" s="1">
        <v>2300</v>
      </c>
      <c r="Y17" s="1">
        <v>2440</v>
      </c>
      <c r="Z17" s="1">
        <v>2420</v>
      </c>
      <c r="AA17" s="1">
        <v>2742</v>
      </c>
      <c r="AB17" s="1">
        <v>2888</v>
      </c>
      <c r="AC17" s="1">
        <v>2741</v>
      </c>
    </row>
    <row r="18" spans="2:29" x14ac:dyDescent="0.2">
      <c r="B18" s="1" t="s">
        <v>10</v>
      </c>
      <c r="C18" s="1">
        <v>2783</v>
      </c>
      <c r="D18" s="1">
        <v>2726</v>
      </c>
      <c r="E18" s="1">
        <v>2767</v>
      </c>
      <c r="F18" s="1">
        <f>+AA18-SUM(C18:E18)</f>
        <v>3048</v>
      </c>
      <c r="G18" s="1">
        <v>2787</v>
      </c>
      <c r="H18" s="1">
        <v>2757</v>
      </c>
      <c r="I18" s="1">
        <v>2731</v>
      </c>
      <c r="J18" s="1">
        <v>2973</v>
      </c>
      <c r="K18" s="1">
        <v>2762</v>
      </c>
      <c r="L18" s="1">
        <v>2740</v>
      </c>
      <c r="M18" s="1">
        <v>2723</v>
      </c>
      <c r="N18" s="1">
        <v>2724</v>
      </c>
      <c r="O18" s="1">
        <v>2959</v>
      </c>
      <c r="T18" s="1">
        <v>6530</v>
      </c>
      <c r="U18" s="1">
        <v>6785</v>
      </c>
      <c r="V18" s="1">
        <v>6672</v>
      </c>
      <c r="W18" s="1">
        <v>9117</v>
      </c>
      <c r="X18" s="1">
        <v>9744</v>
      </c>
      <c r="Y18" s="1">
        <v>9765</v>
      </c>
      <c r="Z18" s="1">
        <v>9696</v>
      </c>
      <c r="AA18" s="1">
        <v>11324</v>
      </c>
      <c r="AB18" s="1">
        <v>11248</v>
      </c>
      <c r="AC18" s="1">
        <v>10949</v>
      </c>
    </row>
    <row r="19" spans="2:29" x14ac:dyDescent="0.2">
      <c r="B19" s="1" t="s">
        <v>11</v>
      </c>
      <c r="C19" s="1">
        <f t="shared" ref="C19:O19" si="3">+SUM(C17:C18)</f>
        <v>3437</v>
      </c>
      <c r="D19" s="1">
        <f t="shared" si="3"/>
        <v>3380</v>
      </c>
      <c r="E19" s="1">
        <f t="shared" si="3"/>
        <v>3439</v>
      </c>
      <c r="F19" s="1">
        <f t="shared" si="3"/>
        <v>3810</v>
      </c>
      <c r="G19" s="1">
        <f t="shared" si="3"/>
        <v>3484</v>
      </c>
      <c r="H19" s="1">
        <f t="shared" si="3"/>
        <v>3441</v>
      </c>
      <c r="I19" s="1">
        <f t="shared" si="3"/>
        <v>3513</v>
      </c>
      <c r="J19" s="1">
        <f t="shared" si="3"/>
        <v>3698</v>
      </c>
      <c r="K19" s="1">
        <f t="shared" si="3"/>
        <v>3416</v>
      </c>
      <c r="L19" s="1">
        <f t="shared" si="3"/>
        <v>3455</v>
      </c>
      <c r="M19" s="1">
        <f t="shared" si="3"/>
        <v>3395</v>
      </c>
      <c r="N19" s="1">
        <f t="shared" si="3"/>
        <v>3424</v>
      </c>
      <c r="O19" s="1">
        <f t="shared" si="3"/>
        <v>3643</v>
      </c>
      <c r="T19" s="1">
        <f t="shared" ref="T19:AC19" si="4">+SUM(T17:T18)</f>
        <v>7875</v>
      </c>
      <c r="U19" s="1">
        <f t="shared" si="4"/>
        <v>8190</v>
      </c>
      <c r="V19" s="1">
        <f t="shared" si="4"/>
        <v>8094</v>
      </c>
      <c r="W19" s="1">
        <f t="shared" si="4"/>
        <v>11352</v>
      </c>
      <c r="X19" s="1">
        <f t="shared" si="4"/>
        <v>12044</v>
      </c>
      <c r="Y19" s="1">
        <f t="shared" si="4"/>
        <v>12205</v>
      </c>
      <c r="Z19" s="1">
        <f t="shared" si="4"/>
        <v>12116</v>
      </c>
      <c r="AA19" s="1">
        <f t="shared" si="4"/>
        <v>14066</v>
      </c>
      <c r="AB19" s="1">
        <f t="shared" si="4"/>
        <v>14136</v>
      </c>
      <c r="AC19" s="1">
        <f t="shared" si="4"/>
        <v>13690</v>
      </c>
    </row>
    <row r="20" spans="2:29" x14ac:dyDescent="0.2">
      <c r="B20" s="1" t="s">
        <v>12</v>
      </c>
      <c r="C20" s="1">
        <f t="shared" ref="C20:O20" si="5">+C16-C19</f>
        <v>2618</v>
      </c>
      <c r="D20" s="1">
        <f t="shared" si="5"/>
        <v>1896</v>
      </c>
      <c r="E20" s="1">
        <f t="shared" si="5"/>
        <v>3066</v>
      </c>
      <c r="F20" s="1">
        <f t="shared" si="5"/>
        <v>2892</v>
      </c>
      <c r="G20" s="1">
        <f t="shared" si="5"/>
        <v>3424</v>
      </c>
      <c r="H20" s="1">
        <f t="shared" si="5"/>
        <v>2883</v>
      </c>
      <c r="I20" s="1">
        <f t="shared" si="5"/>
        <v>2268</v>
      </c>
      <c r="J20" s="1">
        <f t="shared" si="5"/>
        <v>1800</v>
      </c>
      <c r="K20" s="1">
        <f t="shared" si="5"/>
        <v>2000</v>
      </c>
      <c r="L20" s="1">
        <f t="shared" si="5"/>
        <v>2040</v>
      </c>
      <c r="M20" s="1">
        <f t="shared" si="5"/>
        <v>2143</v>
      </c>
      <c r="N20" s="1">
        <f t="shared" si="5"/>
        <v>2261</v>
      </c>
      <c r="O20" s="1">
        <f t="shared" si="5"/>
        <v>1858</v>
      </c>
      <c r="T20" s="1">
        <f t="shared" ref="T20:AC20" si="6">+T16-T19</f>
        <v>3154</v>
      </c>
      <c r="U20" s="1">
        <f t="shared" si="6"/>
        <v>3468</v>
      </c>
      <c r="V20" s="1">
        <f t="shared" si="6"/>
        <v>3735</v>
      </c>
      <c r="W20" s="1">
        <f t="shared" si="6"/>
        <v>3701</v>
      </c>
      <c r="X20" s="1">
        <f t="shared" si="6"/>
        <v>5828</v>
      </c>
      <c r="Y20" s="1">
        <f t="shared" si="6"/>
        <v>6468</v>
      </c>
      <c r="Z20" s="1">
        <f t="shared" si="6"/>
        <v>7489</v>
      </c>
      <c r="AA20" s="1">
        <f t="shared" si="6"/>
        <v>10472</v>
      </c>
      <c r="AB20" s="1">
        <f t="shared" si="6"/>
        <v>10375</v>
      </c>
      <c r="AC20" s="1">
        <f t="shared" si="6"/>
        <v>8444</v>
      </c>
    </row>
    <row r="21" spans="2:29" x14ac:dyDescent="0.2">
      <c r="B21" s="1" t="s">
        <v>13</v>
      </c>
      <c r="C21" s="1">
        <v>135</v>
      </c>
      <c r="D21" s="1">
        <v>134</v>
      </c>
      <c r="E21" s="1">
        <v>133</v>
      </c>
      <c r="F21" s="1">
        <f>+AA21-SUM(C21:E21)</f>
        <v>131</v>
      </c>
      <c r="G21" s="1">
        <v>131</v>
      </c>
      <c r="H21" s="1">
        <v>132</v>
      </c>
      <c r="I21" s="1">
        <v>141</v>
      </c>
      <c r="J21" s="1">
        <v>66</v>
      </c>
      <c r="K21" s="1">
        <v>153</v>
      </c>
      <c r="L21" s="1">
        <v>159</v>
      </c>
      <c r="M21" s="1">
        <v>166</v>
      </c>
      <c r="N21" s="1">
        <v>70</v>
      </c>
      <c r="O21" s="1">
        <v>141</v>
      </c>
      <c r="T21" s="1">
        <v>150</v>
      </c>
      <c r="U21" s="1">
        <v>163</v>
      </c>
      <c r="V21" s="1">
        <v>431</v>
      </c>
      <c r="W21" s="1">
        <v>904</v>
      </c>
      <c r="X21" s="1">
        <v>826</v>
      </c>
      <c r="Y21" s="1">
        <v>670</v>
      </c>
      <c r="Z21" s="1">
        <v>546</v>
      </c>
      <c r="AA21" s="1">
        <v>533</v>
      </c>
      <c r="AB21" s="1">
        <v>558</v>
      </c>
      <c r="AC21" s="1">
        <v>637</v>
      </c>
    </row>
    <row r="22" spans="2:29" x14ac:dyDescent="0.2">
      <c r="B22" s="1" t="s">
        <v>14</v>
      </c>
      <c r="C22" s="1">
        <v>-11</v>
      </c>
      <c r="D22" s="1">
        <v>-11</v>
      </c>
      <c r="E22" s="1">
        <v>-10</v>
      </c>
      <c r="F22" s="1">
        <f>+AA22-SUM(C22:E22)</f>
        <v>-11</v>
      </c>
      <c r="G22" s="1">
        <v>-14</v>
      </c>
      <c r="H22" s="1">
        <v>-26</v>
      </c>
      <c r="I22" s="1">
        <v>-55</v>
      </c>
      <c r="J22" s="1">
        <v>0</v>
      </c>
      <c r="K22" s="1">
        <v>-101</v>
      </c>
      <c r="L22" s="1">
        <v>-98</v>
      </c>
      <c r="M22" s="1">
        <v>-97</v>
      </c>
      <c r="N22" s="1">
        <v>0</v>
      </c>
      <c r="O22" s="1">
        <v>-80</v>
      </c>
      <c r="T22" s="1">
        <v>-77</v>
      </c>
      <c r="U22" s="1">
        <v>-105</v>
      </c>
      <c r="V22" s="1">
        <v>-99</v>
      </c>
      <c r="W22" s="1">
        <v>-124</v>
      </c>
      <c r="X22" s="1">
        <v>-105</v>
      </c>
      <c r="Y22" s="1">
        <v>-94</v>
      </c>
      <c r="Z22" s="1">
        <v>-46</v>
      </c>
      <c r="AA22" s="1">
        <v>-43</v>
      </c>
      <c r="AB22" s="1">
        <v>-183</v>
      </c>
      <c r="AC22" s="1">
        <v>-385</v>
      </c>
    </row>
    <row r="23" spans="2:29" x14ac:dyDescent="0.2">
      <c r="B23" s="1" t="s">
        <v>15</v>
      </c>
      <c r="C23" s="1">
        <v>-61</v>
      </c>
      <c r="D23" s="1">
        <v>-79</v>
      </c>
      <c r="E23" s="1">
        <v>-74</v>
      </c>
      <c r="F23" s="1">
        <f>+AA23-SUM(C23:E23)</f>
        <v>-63</v>
      </c>
      <c r="G23" s="1">
        <v>-78</v>
      </c>
      <c r="H23" s="1">
        <v>-82</v>
      </c>
      <c r="I23" s="1">
        <v>-93</v>
      </c>
      <c r="J23" s="1">
        <v>-68</v>
      </c>
      <c r="K23" s="1">
        <v>-111</v>
      </c>
      <c r="L23" s="1">
        <v>-176</v>
      </c>
      <c r="M23" s="1">
        <v>-83</v>
      </c>
      <c r="N23" s="1">
        <v>-109</v>
      </c>
      <c r="O23" s="1">
        <v>-111</v>
      </c>
      <c r="T23" s="1">
        <v>14</v>
      </c>
      <c r="U23" s="1">
        <v>-281</v>
      </c>
      <c r="V23" s="1">
        <v>945</v>
      </c>
      <c r="W23" s="1">
        <v>-1251</v>
      </c>
      <c r="X23" s="1">
        <v>-139</v>
      </c>
      <c r="Y23" s="1">
        <v>-191</v>
      </c>
      <c r="Z23" s="1">
        <v>-103</v>
      </c>
      <c r="AA23" s="1">
        <v>-277</v>
      </c>
      <c r="AB23" s="1">
        <v>-321</v>
      </c>
      <c r="AC23" s="1">
        <v>-479</v>
      </c>
    </row>
    <row r="24" spans="2:29" x14ac:dyDescent="0.2">
      <c r="B24" s="1" t="s">
        <v>16</v>
      </c>
      <c r="C24" s="1">
        <f t="shared" ref="C24:O24" si="7">+C20+SUM(C21:C23)</f>
        <v>2681</v>
      </c>
      <c r="D24" s="1">
        <f t="shared" si="7"/>
        <v>1940</v>
      </c>
      <c r="E24" s="1">
        <f t="shared" si="7"/>
        <v>3115</v>
      </c>
      <c r="F24" s="1">
        <f t="shared" si="7"/>
        <v>2949</v>
      </c>
      <c r="G24" s="1">
        <f t="shared" si="7"/>
        <v>3463</v>
      </c>
      <c r="H24" s="1">
        <f t="shared" si="7"/>
        <v>2907</v>
      </c>
      <c r="I24" s="1">
        <f t="shared" si="7"/>
        <v>2261</v>
      </c>
      <c r="J24" s="1">
        <f t="shared" si="7"/>
        <v>1798</v>
      </c>
      <c r="K24" s="1">
        <f t="shared" si="7"/>
        <v>1941</v>
      </c>
      <c r="L24" s="1">
        <f t="shared" si="7"/>
        <v>1925</v>
      </c>
      <c r="M24" s="1">
        <f t="shared" si="7"/>
        <v>2129</v>
      </c>
      <c r="N24" s="1">
        <f t="shared" si="7"/>
        <v>2222</v>
      </c>
      <c r="O24" s="1">
        <f t="shared" si="7"/>
        <v>1808</v>
      </c>
      <c r="T24" s="1">
        <f t="shared" ref="T24:AC24" si="8">+T20+SUM(T21:T23)</f>
        <v>3241</v>
      </c>
      <c r="U24" s="1">
        <f t="shared" si="8"/>
        <v>3245</v>
      </c>
      <c r="V24" s="1">
        <f t="shared" si="8"/>
        <v>5012</v>
      </c>
      <c r="W24" s="1">
        <f t="shared" si="8"/>
        <v>3230</v>
      </c>
      <c r="X24" s="1">
        <f t="shared" si="8"/>
        <v>6410</v>
      </c>
      <c r="Y24" s="1">
        <f t="shared" si="8"/>
        <v>6853</v>
      </c>
      <c r="Z24" s="1">
        <f t="shared" si="8"/>
        <v>7886</v>
      </c>
      <c r="AA24" s="1">
        <f t="shared" si="8"/>
        <v>10685</v>
      </c>
      <c r="AB24" s="1">
        <f t="shared" si="8"/>
        <v>10429</v>
      </c>
      <c r="AC24" s="1">
        <f t="shared" si="8"/>
        <v>8217</v>
      </c>
    </row>
    <row r="25" spans="2:29" x14ac:dyDescent="0.2">
      <c r="B25" s="1" t="s">
        <v>17</v>
      </c>
      <c r="C25" s="1">
        <v>250</v>
      </c>
      <c r="D25" s="1">
        <v>159</v>
      </c>
      <c r="E25" s="1">
        <v>393</v>
      </c>
      <c r="F25" s="1">
        <f>+AA25-SUM(C25:E25)</f>
        <v>338</v>
      </c>
      <c r="G25" s="1">
        <v>429</v>
      </c>
      <c r="H25" s="1">
        <v>334</v>
      </c>
      <c r="I25" s="1">
        <v>323</v>
      </c>
      <c r="J25" s="1">
        <v>287</v>
      </c>
      <c r="K25" s="1">
        <v>244</v>
      </c>
      <c r="L25" s="1">
        <v>261</v>
      </c>
      <c r="M25" s="1">
        <v>235</v>
      </c>
      <c r="N25" s="1">
        <v>201</v>
      </c>
      <c r="O25" s="1">
        <v>211</v>
      </c>
      <c r="T25" s="1">
        <v>797</v>
      </c>
      <c r="U25" s="1">
        <v>577</v>
      </c>
      <c r="V25" s="1">
        <v>350</v>
      </c>
      <c r="W25" s="1">
        <v>1878</v>
      </c>
      <c r="X25" s="1">
        <v>539</v>
      </c>
      <c r="Y25" s="1">
        <v>390</v>
      </c>
      <c r="Z25" s="1">
        <v>497</v>
      </c>
      <c r="AA25" s="1">
        <v>1140</v>
      </c>
      <c r="AB25" s="1">
        <v>1373</v>
      </c>
      <c r="AC25" s="1">
        <v>941</v>
      </c>
    </row>
    <row r="26" spans="2:29" x14ac:dyDescent="0.2">
      <c r="B26" s="1" t="s">
        <v>18</v>
      </c>
      <c r="C26" s="1">
        <f t="shared" ref="C26:O26" si="9">+C24-C25</f>
        <v>2431</v>
      </c>
      <c r="D26" s="1">
        <f t="shared" si="9"/>
        <v>1781</v>
      </c>
      <c r="E26" s="1">
        <f t="shared" si="9"/>
        <v>2722</v>
      </c>
      <c r="F26" s="1">
        <f t="shared" si="9"/>
        <v>2611</v>
      </c>
      <c r="G26" s="1">
        <f t="shared" si="9"/>
        <v>3034</v>
      </c>
      <c r="H26" s="1">
        <f t="shared" si="9"/>
        <v>2573</v>
      </c>
      <c r="I26" s="1">
        <f t="shared" si="9"/>
        <v>1938</v>
      </c>
      <c r="J26" s="1">
        <f t="shared" si="9"/>
        <v>1511</v>
      </c>
      <c r="K26" s="1">
        <f t="shared" si="9"/>
        <v>1697</v>
      </c>
      <c r="L26" s="1">
        <f t="shared" si="9"/>
        <v>1664</v>
      </c>
      <c r="M26" s="1">
        <f t="shared" si="9"/>
        <v>1894</v>
      </c>
      <c r="N26" s="1">
        <f t="shared" si="9"/>
        <v>2021</v>
      </c>
      <c r="O26" s="1">
        <f t="shared" si="9"/>
        <v>1597</v>
      </c>
      <c r="T26" s="1">
        <f t="shared" ref="T26:AC26" si="10">+T24-T25</f>
        <v>2444</v>
      </c>
      <c r="U26" s="1">
        <f t="shared" si="10"/>
        <v>2668</v>
      </c>
      <c r="V26" s="1">
        <f t="shared" si="10"/>
        <v>4662</v>
      </c>
      <c r="W26" s="1">
        <f t="shared" si="10"/>
        <v>1352</v>
      </c>
      <c r="X26" s="1">
        <f t="shared" si="10"/>
        <v>5871</v>
      </c>
      <c r="Y26" s="1">
        <f t="shared" si="10"/>
        <v>6463</v>
      </c>
      <c r="Z26" s="1">
        <f t="shared" si="10"/>
        <v>7389</v>
      </c>
      <c r="AA26" s="1">
        <f t="shared" si="10"/>
        <v>9545</v>
      </c>
      <c r="AB26" s="1">
        <f t="shared" si="10"/>
        <v>9056</v>
      </c>
      <c r="AC26" s="1">
        <f t="shared" si="10"/>
        <v>7276</v>
      </c>
    </row>
    <row r="27" spans="2:29" x14ac:dyDescent="0.2">
      <c r="B27" s="1" t="s">
        <v>19</v>
      </c>
      <c r="C27" s="5">
        <f t="shared" ref="C27:O27" si="11">+C26/C28</f>
        <v>1.3569611661269896</v>
      </c>
      <c r="D27" s="5">
        <f t="shared" si="11"/>
        <v>0.99315276652433893</v>
      </c>
      <c r="E27" s="5">
        <f t="shared" si="11"/>
        <v>1.5215212529464801</v>
      </c>
      <c r="F27" s="5">
        <f t="shared" si="11"/>
        <v>1.4576329031644573</v>
      </c>
      <c r="G27" s="5">
        <f t="shared" si="11"/>
        <v>1.7097369349387055</v>
      </c>
      <c r="H27" s="5">
        <f t="shared" si="11"/>
        <v>1.457408056696742</v>
      </c>
      <c r="I27" s="5">
        <f t="shared" si="11"/>
        <v>1.0988556138877659</v>
      </c>
      <c r="J27" s="5">
        <f t="shared" si="11"/>
        <v>0.86145952109464086</v>
      </c>
      <c r="K27" s="5">
        <f t="shared" si="11"/>
        <v>0.96876489611609196</v>
      </c>
      <c r="L27" s="5">
        <f t="shared" si="11"/>
        <v>0.95072241190962647</v>
      </c>
      <c r="M27" s="5">
        <f t="shared" si="11"/>
        <v>1.0833449160865281</v>
      </c>
      <c r="N27" s="5">
        <f t="shared" si="11"/>
        <v>1.1561784897025171</v>
      </c>
      <c r="O27" s="5">
        <f t="shared" si="11"/>
        <v>0.91275293601241847</v>
      </c>
      <c r="T27" s="5">
        <f t="shared" ref="T27:AC27" si="12">+T26/T28</f>
        <v>1.6005239030779306</v>
      </c>
      <c r="U27" s="5">
        <f t="shared" si="12"/>
        <v>1.7715803452855245</v>
      </c>
      <c r="V27" s="5">
        <f t="shared" si="12"/>
        <v>3.143627781523938</v>
      </c>
      <c r="W27" s="5">
        <f t="shared" si="12"/>
        <v>0.76384180790960454</v>
      </c>
      <c r="X27" s="5">
        <f t="shared" si="12"/>
        <v>3.3169491525423731</v>
      </c>
      <c r="Y27" s="5">
        <f t="shared" si="12"/>
        <v>3.6555429864253393</v>
      </c>
      <c r="Z27" s="5">
        <f t="shared" si="12"/>
        <v>4.137178051511758</v>
      </c>
      <c r="AA27" s="5">
        <f t="shared" si="12"/>
        <v>5.335382895472331</v>
      </c>
      <c r="AB27" s="5">
        <f t="shared" si="12"/>
        <v>5.1337868480725621</v>
      </c>
      <c r="AC27" s="5">
        <f t="shared" si="12"/>
        <v>4.160091480846198</v>
      </c>
    </row>
    <row r="28" spans="2:29" x14ac:dyDescent="0.2">
      <c r="B28" s="1" t="s">
        <v>1</v>
      </c>
      <c r="C28" s="1">
        <v>1791.5029999999999</v>
      </c>
      <c r="D28" s="1">
        <v>1793.279</v>
      </c>
      <c r="E28" s="1">
        <v>1788.999</v>
      </c>
      <c r="F28" s="1">
        <f>+AVERAGE(C28:E28)</f>
        <v>1791.2603333333334</v>
      </c>
      <c r="G28" s="1">
        <v>1774.5419999999999</v>
      </c>
      <c r="H28" s="1">
        <v>1765.463</v>
      </c>
      <c r="I28" s="1">
        <v>1763.653</v>
      </c>
      <c r="J28" s="1">
        <v>1754</v>
      </c>
      <c r="K28" s="1">
        <v>1751.7149999999999</v>
      </c>
      <c r="L28" s="1">
        <v>1750.248</v>
      </c>
      <c r="M28" s="1">
        <v>1748.289</v>
      </c>
      <c r="N28" s="1">
        <v>1748</v>
      </c>
      <c r="O28" s="1">
        <v>1749.652</v>
      </c>
      <c r="T28" s="1">
        <v>1527</v>
      </c>
      <c r="U28" s="1">
        <v>1506</v>
      </c>
      <c r="V28" s="1">
        <v>1483</v>
      </c>
      <c r="W28" s="1">
        <v>1770</v>
      </c>
      <c r="X28" s="1">
        <v>1770</v>
      </c>
      <c r="Y28" s="1">
        <v>1768</v>
      </c>
      <c r="Z28" s="1">
        <v>1786</v>
      </c>
      <c r="AA28" s="1">
        <v>1789</v>
      </c>
      <c r="AB28" s="1">
        <v>1764</v>
      </c>
      <c r="AC28" s="1">
        <v>1749</v>
      </c>
    </row>
    <row r="30" spans="2:29" s="2" customFormat="1" x14ac:dyDescent="0.2">
      <c r="B30" s="2" t="s">
        <v>20</v>
      </c>
      <c r="C30" s="2">
        <f t="shared" ref="C30:O30" si="13">+C16/C14</f>
        <v>0.57909334353481257</v>
      </c>
      <c r="D30" s="2">
        <f t="shared" si="13"/>
        <v>0.51609116697642565</v>
      </c>
      <c r="E30" s="2">
        <f t="shared" si="13"/>
        <v>0.59525988286969256</v>
      </c>
      <c r="F30" s="2">
        <f t="shared" si="13"/>
        <v>0.58440878967561916</v>
      </c>
      <c r="G30" s="2">
        <f t="shared" si="13"/>
        <v>0.58074821353509876</v>
      </c>
      <c r="H30" s="2">
        <f t="shared" si="13"/>
        <v>0.56178377898196674</v>
      </c>
      <c r="I30" s="2">
        <f t="shared" si="13"/>
        <v>0.55533141210374637</v>
      </c>
      <c r="J30" s="2">
        <f t="shared" si="13"/>
        <v>0.54484193836091566</v>
      </c>
      <c r="K30" s="2">
        <f t="shared" si="13"/>
        <v>0.55565815122601825</v>
      </c>
      <c r="L30" s="2">
        <f t="shared" si="13"/>
        <v>0.5507115654439767</v>
      </c>
      <c r="M30" s="2">
        <f t="shared" si="13"/>
        <v>0.54599230996746528</v>
      </c>
      <c r="N30" s="2">
        <f t="shared" si="13"/>
        <v>0.55512157015916419</v>
      </c>
      <c r="O30" s="2">
        <f t="shared" si="13"/>
        <v>0.55208751505419507</v>
      </c>
      <c r="T30" s="2">
        <f t="shared" ref="T30:AC30" si="14">+T16/T14</f>
        <v>0.54472267496419224</v>
      </c>
      <c r="U30" s="2">
        <f t="shared" si="14"/>
        <v>0.57133055623621665</v>
      </c>
      <c r="V30" s="2">
        <f t="shared" si="14"/>
        <v>0.56725650985469711</v>
      </c>
      <c r="W30" s="2">
        <f t="shared" si="14"/>
        <v>0.54958013873676526</v>
      </c>
      <c r="X30" s="2">
        <f t="shared" si="14"/>
        <v>0.58447249656615863</v>
      </c>
      <c r="Y30" s="2">
        <f t="shared" si="14"/>
        <v>0.58528711133400202</v>
      </c>
      <c r="Z30" s="2">
        <f t="shared" si="14"/>
        <v>0.56648751733703195</v>
      </c>
      <c r="AA30" s="2">
        <f t="shared" si="14"/>
        <v>0.56965757399883921</v>
      </c>
      <c r="AB30" s="2">
        <f t="shared" si="14"/>
        <v>0.5614963461846838</v>
      </c>
      <c r="AC30" s="2">
        <f t="shared" si="14"/>
        <v>0.5518462190530804</v>
      </c>
    </row>
    <row r="31" spans="2:29" s="2" customFormat="1" x14ac:dyDescent="0.2">
      <c r="B31" s="2" t="s">
        <v>21</v>
      </c>
      <c r="C31" s="2">
        <f t="shared" ref="C31:O31" si="15">+C20/C14</f>
        <v>0.25038255547054322</v>
      </c>
      <c r="D31" s="2">
        <f t="shared" si="15"/>
        <v>0.18546414946688838</v>
      </c>
      <c r="E31" s="2">
        <f t="shared" si="15"/>
        <v>0.2805636896046852</v>
      </c>
      <c r="F31" s="2">
        <f t="shared" si="15"/>
        <v>0.25217997907220091</v>
      </c>
      <c r="G31" s="2">
        <f t="shared" si="15"/>
        <v>0.28785203867171083</v>
      </c>
      <c r="H31" s="2">
        <f t="shared" si="15"/>
        <v>0.25610731100648487</v>
      </c>
      <c r="I31" s="2">
        <f t="shared" si="15"/>
        <v>0.21786743515850143</v>
      </c>
      <c r="J31" s="2">
        <f t="shared" si="15"/>
        <v>0.178376771380438</v>
      </c>
      <c r="K31" s="2">
        <f t="shared" si="15"/>
        <v>0.20519134092541294</v>
      </c>
      <c r="L31" s="2">
        <f t="shared" si="15"/>
        <v>0.20444978953698137</v>
      </c>
      <c r="M31" s="2">
        <f t="shared" si="15"/>
        <v>0.21127871438430446</v>
      </c>
      <c r="N31" s="2">
        <f t="shared" si="15"/>
        <v>0.22077922077922077</v>
      </c>
      <c r="O31" s="2">
        <f t="shared" si="15"/>
        <v>0.18647129666800483</v>
      </c>
      <c r="T31" s="2">
        <f t="shared" ref="T31:AC31" si="16">+T20/T14</f>
        <v>0.15577616437003014</v>
      </c>
      <c r="U31" s="2">
        <f t="shared" si="16"/>
        <v>0.16995834354324921</v>
      </c>
      <c r="V31" s="2">
        <f t="shared" si="16"/>
        <v>0.17911091929218817</v>
      </c>
      <c r="W31" s="2">
        <f t="shared" si="16"/>
        <v>0.13512230741146403</v>
      </c>
      <c r="X31" s="2">
        <f t="shared" si="16"/>
        <v>0.19059454509778273</v>
      </c>
      <c r="Y31" s="2">
        <f t="shared" si="16"/>
        <v>0.20273319959879638</v>
      </c>
      <c r="Z31" s="2">
        <f t="shared" si="16"/>
        <v>0.21639505316689783</v>
      </c>
      <c r="AA31" s="2">
        <f t="shared" si="16"/>
        <v>0.24311085316308764</v>
      </c>
      <c r="AB31" s="2">
        <f t="shared" si="16"/>
        <v>0.23766980505349003</v>
      </c>
      <c r="AC31" s="2">
        <f t="shared" si="16"/>
        <v>0.21052631578947367</v>
      </c>
    </row>
    <row r="32" spans="2:29" s="2" customFormat="1" x14ac:dyDescent="0.2">
      <c r="B32" s="2" t="s">
        <v>22</v>
      </c>
      <c r="C32" s="2">
        <f t="shared" ref="C32:O32" si="17">+C26/C14</f>
        <v>0.23249808722264728</v>
      </c>
      <c r="D32" s="2">
        <f t="shared" si="17"/>
        <v>0.17421500538002543</v>
      </c>
      <c r="E32" s="2">
        <f t="shared" si="17"/>
        <v>0.24908491947291361</v>
      </c>
      <c r="F32" s="2">
        <f t="shared" si="17"/>
        <v>0.2276770143006627</v>
      </c>
      <c r="G32" s="2">
        <f t="shared" si="17"/>
        <v>0.25506515342580915</v>
      </c>
      <c r="H32" s="2">
        <f t="shared" si="17"/>
        <v>0.22856889046815315</v>
      </c>
      <c r="I32" s="2">
        <f t="shared" si="17"/>
        <v>0.18616714697406339</v>
      </c>
      <c r="J32" s="2">
        <f t="shared" si="17"/>
        <v>0.14973738975324546</v>
      </c>
      <c r="K32" s="2">
        <f t="shared" si="17"/>
        <v>0.1741048527752129</v>
      </c>
      <c r="L32" s="2">
        <f t="shared" si="17"/>
        <v>0.16676688715173382</v>
      </c>
      <c r="M32" s="2">
        <f t="shared" si="17"/>
        <v>0.18672976436951591</v>
      </c>
      <c r="N32" s="2">
        <f t="shared" si="17"/>
        <v>0.19734400937408456</v>
      </c>
      <c r="O32" s="2">
        <f t="shared" si="17"/>
        <v>0.16027699718988359</v>
      </c>
      <c r="T32" s="2">
        <f t="shared" ref="T32:AC32" si="18">+T26/T14</f>
        <v>0.12070924087519139</v>
      </c>
      <c r="U32" s="2">
        <f t="shared" si="18"/>
        <v>0.13075226660132319</v>
      </c>
      <c r="V32" s="2">
        <f t="shared" si="18"/>
        <v>0.22356495468277945</v>
      </c>
      <c r="W32" s="2">
        <f t="shared" si="18"/>
        <v>4.936108068638189E-2</v>
      </c>
      <c r="X32" s="2">
        <f t="shared" si="18"/>
        <v>0.19200078487801686</v>
      </c>
      <c r="Y32" s="2">
        <f t="shared" si="18"/>
        <v>0.20257647943831494</v>
      </c>
      <c r="Z32" s="2">
        <f t="shared" si="18"/>
        <v>0.21350554785020803</v>
      </c>
      <c r="AA32" s="2">
        <f t="shared" si="18"/>
        <v>0.22159024956471271</v>
      </c>
      <c r="AB32" s="2">
        <f t="shared" si="18"/>
        <v>0.20745424140379815</v>
      </c>
      <c r="AC32" s="2">
        <f t="shared" si="18"/>
        <v>0.18140566955047496</v>
      </c>
    </row>
    <row r="33" spans="2:31" s="2" customFormat="1" x14ac:dyDescent="0.2">
      <c r="B33" s="2" t="s">
        <v>23</v>
      </c>
      <c r="C33" s="2">
        <f t="shared" ref="C33:O33" si="19">+C25/C24</f>
        <v>9.3248787765759039E-2</v>
      </c>
      <c r="D33" s="2">
        <f t="shared" si="19"/>
        <v>8.1958762886597938E-2</v>
      </c>
      <c r="E33" s="2">
        <f t="shared" si="19"/>
        <v>0.12616372391653291</v>
      </c>
      <c r="F33" s="2">
        <f t="shared" si="19"/>
        <v>0.11461512377076975</v>
      </c>
      <c r="G33" s="2">
        <f t="shared" si="19"/>
        <v>0.12388102801039561</v>
      </c>
      <c r="H33" s="2">
        <f t="shared" si="19"/>
        <v>0.11489508083935329</v>
      </c>
      <c r="I33" s="2">
        <f t="shared" si="19"/>
        <v>0.14285714285714285</v>
      </c>
      <c r="J33" s="2">
        <f t="shared" si="19"/>
        <v>0.1596218020022247</v>
      </c>
      <c r="K33" s="2">
        <f t="shared" si="19"/>
        <v>0.12570839773312725</v>
      </c>
      <c r="L33" s="2">
        <f t="shared" si="19"/>
        <v>0.13558441558441559</v>
      </c>
      <c r="M33" s="2">
        <f t="shared" si="19"/>
        <v>0.1103804603100047</v>
      </c>
      <c r="N33" s="2">
        <f t="shared" si="19"/>
        <v>9.045904590459046E-2</v>
      </c>
      <c r="O33" s="2">
        <f t="shared" si="19"/>
        <v>0.11670353982300885</v>
      </c>
      <c r="T33" s="2">
        <f t="shared" ref="T33:AC33" si="20">+T25/T24</f>
        <v>0.24591175563097808</v>
      </c>
      <c r="U33" s="2">
        <f t="shared" si="20"/>
        <v>0.1778120184899846</v>
      </c>
      <c r="V33" s="2">
        <f t="shared" si="20"/>
        <v>6.9832402234636867E-2</v>
      </c>
      <c r="W33" s="2">
        <f t="shared" si="20"/>
        <v>0.58142414860681113</v>
      </c>
      <c r="X33" s="2">
        <f t="shared" si="20"/>
        <v>8.4087363494539782E-2</v>
      </c>
      <c r="Y33" s="2">
        <f t="shared" si="20"/>
        <v>5.6909382752079379E-2</v>
      </c>
      <c r="Z33" s="2">
        <f t="shared" si="20"/>
        <v>6.3023078873953836E-2</v>
      </c>
      <c r="AA33" s="2">
        <f t="shared" si="20"/>
        <v>0.10669162377164249</v>
      </c>
      <c r="AB33" s="2">
        <f t="shared" si="20"/>
        <v>0.13165212388531977</v>
      </c>
      <c r="AC33" s="2">
        <f t="shared" si="20"/>
        <v>0.11451868078374103</v>
      </c>
    </row>
    <row r="34" spans="2:31" s="2" customFormat="1" x14ac:dyDescent="0.2"/>
    <row r="35" spans="2:31" s="13" customFormat="1" x14ac:dyDescent="0.2">
      <c r="B35" s="13" t="s">
        <v>24</v>
      </c>
      <c r="G35" s="13">
        <f t="shared" ref="G35:K35" si="21">+G14/C14-1</f>
        <v>0.13762433052792655</v>
      </c>
      <c r="H35" s="13">
        <f t="shared" si="21"/>
        <v>0.10114447813753302</v>
      </c>
      <c r="I35" s="13">
        <f t="shared" si="21"/>
        <v>-4.7401171303074641E-2</v>
      </c>
      <c r="J35" s="13">
        <f t="shared" si="21"/>
        <v>-0.120073247296826</v>
      </c>
      <c r="K35" s="13">
        <f t="shared" si="21"/>
        <v>-0.18058007566204293</v>
      </c>
      <c r="L35" s="13">
        <f>+L14/H14-1</f>
        <v>-0.11361819312427823</v>
      </c>
      <c r="M35" s="13">
        <f>+M14/I14-1</f>
        <v>-2.5648414985590784E-2</v>
      </c>
      <c r="N35" s="13">
        <f>+N14/J14-1</f>
        <v>1.486473094836982E-2</v>
      </c>
      <c r="O35" s="13">
        <f>+O14/K14-1</f>
        <v>2.2263260490407388E-2</v>
      </c>
      <c r="U35" s="13">
        <f>+U14/T14-1</f>
        <v>7.8036252284288121E-3</v>
      </c>
      <c r="V35" s="13">
        <f>+V14/U14-1</f>
        <v>2.1955403087478453E-2</v>
      </c>
      <c r="W35" s="13">
        <f>+W14/V14-1</f>
        <v>0.31348007480938</v>
      </c>
      <c r="X35" s="13">
        <f t="shared" ref="X35" si="22">+X14/W14-1</f>
        <v>0.11639284410368744</v>
      </c>
      <c r="Y35" s="13">
        <f t="shared" ref="Y35:AA35" si="23">+Y14/X14-1</f>
        <v>4.3364510432337022E-2</v>
      </c>
      <c r="Z35" s="13">
        <f t="shared" si="23"/>
        <v>8.4754262788365065E-2</v>
      </c>
      <c r="AA35" s="13">
        <f t="shared" si="23"/>
        <v>0.2446544151641239</v>
      </c>
      <c r="AB35" s="13">
        <f>+AB14/AA14-1</f>
        <v>1.3418456181079508E-2</v>
      </c>
      <c r="AC35" s="13">
        <f>+AC14/AB14-1</f>
        <v>-8.1185714612970417E-2</v>
      </c>
    </row>
    <row r="37" spans="2:31" x14ac:dyDescent="0.2">
      <c r="B37" s="1" t="s">
        <v>41</v>
      </c>
      <c r="N37" s="1">
        <f>+N38-N51</f>
        <v>-6601</v>
      </c>
      <c r="O37" s="1">
        <f>+O38-O51</f>
        <v>-7117</v>
      </c>
      <c r="AD37" s="1" t="s">
        <v>78</v>
      </c>
      <c r="AE37" s="2">
        <v>0.1</v>
      </c>
    </row>
    <row r="38" spans="2:31" x14ac:dyDescent="0.2">
      <c r="B38" s="1" t="s">
        <v>3</v>
      </c>
      <c r="N38" s="1">
        <f>6896+383+799</f>
        <v>8078</v>
      </c>
      <c r="O38" s="1">
        <f>6284+367+818</f>
        <v>7469</v>
      </c>
      <c r="AD38" s="1" t="s">
        <v>79</v>
      </c>
      <c r="AE38" s="2">
        <v>-0.03</v>
      </c>
    </row>
    <row r="39" spans="2:31" x14ac:dyDescent="0.2">
      <c r="B39" s="1" t="s">
        <v>42</v>
      </c>
      <c r="N39" s="1">
        <v>6565</v>
      </c>
      <c r="O39" s="1">
        <v>6605</v>
      </c>
      <c r="AD39" s="1" t="s">
        <v>80</v>
      </c>
      <c r="AE39" s="1">
        <f>+NPV(AE37,T26:AC26)</f>
        <v>31036.844036157807</v>
      </c>
    </row>
    <row r="40" spans="2:31" x14ac:dyDescent="0.2">
      <c r="B40" s="1" t="s">
        <v>43</v>
      </c>
      <c r="N40" s="1">
        <v>6570</v>
      </c>
      <c r="O40" s="1">
        <v>6827</v>
      </c>
      <c r="AD40" s="1" t="s">
        <v>41</v>
      </c>
      <c r="AE40" s="1">
        <f>+O37</f>
        <v>-7117</v>
      </c>
    </row>
    <row r="41" spans="2:31" x14ac:dyDescent="0.2">
      <c r="B41" s="1" t="s">
        <v>44</v>
      </c>
      <c r="N41" s="1">
        <v>2256</v>
      </c>
      <c r="O41" s="1">
        <v>2293</v>
      </c>
      <c r="AD41" s="1" t="s">
        <v>81</v>
      </c>
      <c r="AE41" s="1">
        <f>+AE39+AE40</f>
        <v>23919.844036157807</v>
      </c>
    </row>
    <row r="42" spans="2:31" x14ac:dyDescent="0.2">
      <c r="B42" s="1" t="s">
        <v>45</v>
      </c>
      <c r="N42" s="1">
        <v>10154</v>
      </c>
      <c r="O42" s="1">
        <v>10107</v>
      </c>
      <c r="AD42" s="1" t="s">
        <v>82</v>
      </c>
      <c r="AE42" s="1">
        <f>+AE41/Main!J5</f>
        <v>13.749930933685569</v>
      </c>
    </row>
    <row r="43" spans="2:31" x14ac:dyDescent="0.2">
      <c r="B43" s="1" t="s">
        <v>46</v>
      </c>
      <c r="N43" s="1">
        <f>8815+23679</f>
        <v>32494</v>
      </c>
      <c r="O43" s="1">
        <f>8296+23383</f>
        <v>31679</v>
      </c>
      <c r="AD43" s="1" t="s">
        <v>83</v>
      </c>
      <c r="AE43" s="1">
        <v>104</v>
      </c>
    </row>
    <row r="44" spans="2:31" x14ac:dyDescent="0.2">
      <c r="B44" s="1" t="s">
        <v>47</v>
      </c>
      <c r="N44" s="1">
        <v>7097</v>
      </c>
      <c r="O44" s="1">
        <v>7487</v>
      </c>
      <c r="AD44" s="1" t="s">
        <v>84</v>
      </c>
      <c r="AE44" s="2">
        <f>+AE42/AE43-1</f>
        <v>-0.86778912563763877</v>
      </c>
    </row>
    <row r="45" spans="2:31" s="7" customFormat="1" x14ac:dyDescent="0.2">
      <c r="B45" s="7" t="s">
        <v>48</v>
      </c>
      <c r="N45" s="7">
        <f>+SUM(N38:N44)</f>
        <v>73214</v>
      </c>
      <c r="O45" s="7">
        <f>+SUM(O38:O44)</f>
        <v>72467</v>
      </c>
    </row>
    <row r="46" spans="2:31" x14ac:dyDescent="0.2">
      <c r="B46" s="1" t="s">
        <v>49</v>
      </c>
      <c r="N46" s="1">
        <v>4295</v>
      </c>
      <c r="O46" s="1">
        <v>4178</v>
      </c>
    </row>
    <row r="47" spans="2:31" x14ac:dyDescent="0.2">
      <c r="B47" s="1" t="s">
        <v>50</v>
      </c>
      <c r="N47" s="1">
        <v>1597</v>
      </c>
      <c r="O47" s="1">
        <v>1092</v>
      </c>
    </row>
    <row r="48" spans="2:31" x14ac:dyDescent="0.2">
      <c r="B48" s="1" t="s">
        <v>51</v>
      </c>
      <c r="N48" s="1">
        <v>5422</v>
      </c>
      <c r="O48" s="1">
        <v>5220</v>
      </c>
    </row>
    <row r="49" spans="2:15" x14ac:dyDescent="0.2">
      <c r="B49" s="1" t="s">
        <v>52</v>
      </c>
      <c r="N49" s="1">
        <v>955</v>
      </c>
      <c r="O49" s="1">
        <v>959</v>
      </c>
    </row>
    <row r="50" spans="2:15" x14ac:dyDescent="0.2">
      <c r="B50" s="1" t="s">
        <v>17</v>
      </c>
      <c r="N50" s="1">
        <v>492</v>
      </c>
      <c r="O50" s="1">
        <v>562</v>
      </c>
    </row>
    <row r="51" spans="2:15" x14ac:dyDescent="0.2">
      <c r="B51" s="1" t="s">
        <v>4</v>
      </c>
      <c r="N51" s="1">
        <f>1080+13599</f>
        <v>14679</v>
      </c>
      <c r="O51" s="1">
        <f>2010+12576</f>
        <v>14586</v>
      </c>
    </row>
    <row r="52" spans="2:15" x14ac:dyDescent="0.2">
      <c r="B52" s="1" t="s">
        <v>15</v>
      </c>
      <c r="N52" s="1">
        <v>6947</v>
      </c>
      <c r="O52" s="1">
        <v>6827</v>
      </c>
    </row>
    <row r="53" spans="2:15" s="7" customFormat="1" x14ac:dyDescent="0.2">
      <c r="B53" s="7" t="s">
        <v>53</v>
      </c>
      <c r="N53" s="7">
        <f>+SUM(N46:N52)</f>
        <v>34387</v>
      </c>
      <c r="O53" s="7">
        <f>+SUM(O46:O52)</f>
        <v>33424</v>
      </c>
    </row>
    <row r="54" spans="2:15" x14ac:dyDescent="0.2">
      <c r="B54" s="1" t="s">
        <v>54</v>
      </c>
      <c r="N54" s="1">
        <v>38827</v>
      </c>
      <c r="O54" s="1">
        <v>39043</v>
      </c>
    </row>
    <row r="55" spans="2:15" x14ac:dyDescent="0.2">
      <c r="B55" s="1" t="s">
        <v>55</v>
      </c>
      <c r="N55" s="1">
        <f>+N54+N53</f>
        <v>73214</v>
      </c>
      <c r="O55" s="1">
        <f>+O54+O53</f>
        <v>72467</v>
      </c>
    </row>
    <row r="57" spans="2:15" x14ac:dyDescent="0.2">
      <c r="B57" s="1" t="s">
        <v>74</v>
      </c>
      <c r="G57" s="1">
        <f t="shared" ref="G57:N57" si="24">+SUM(D26:G26)</f>
        <v>10148</v>
      </c>
      <c r="H57" s="1">
        <f t="shared" si="24"/>
        <v>10940</v>
      </c>
      <c r="I57" s="1">
        <f t="shared" si="24"/>
        <v>10156</v>
      </c>
      <c r="J57" s="1">
        <f t="shared" si="24"/>
        <v>9056</v>
      </c>
      <c r="K57" s="1">
        <f t="shared" si="24"/>
        <v>7719</v>
      </c>
      <c r="L57" s="1">
        <f t="shared" si="24"/>
        <v>6810</v>
      </c>
      <c r="M57" s="1">
        <f t="shared" si="24"/>
        <v>6766</v>
      </c>
      <c r="N57" s="1">
        <f t="shared" si="24"/>
        <v>7276</v>
      </c>
      <c r="O57" s="1">
        <f>+SUM(L26:O26)</f>
        <v>7176</v>
      </c>
    </row>
    <row r="58" spans="2:15" s="2" customFormat="1" x14ac:dyDescent="0.2">
      <c r="B58" s="2" t="s">
        <v>75</v>
      </c>
      <c r="N58" s="2">
        <f>+N57/(N39+N40+N41+N42+N44)</f>
        <v>0.22290300839409349</v>
      </c>
      <c r="O58" s="2">
        <f>+O57/(O39+O40+O41+O42+O44)</f>
        <v>0.21537261022239562</v>
      </c>
    </row>
    <row r="60" spans="2:15" x14ac:dyDescent="0.2">
      <c r="B60" s="1" t="s">
        <v>56</v>
      </c>
      <c r="O60" s="1">
        <f>+O26</f>
        <v>1597</v>
      </c>
    </row>
    <row r="61" spans="2:15" x14ac:dyDescent="0.2">
      <c r="B61" s="1" t="s">
        <v>57</v>
      </c>
      <c r="O61" s="1">
        <v>1225</v>
      </c>
    </row>
    <row r="62" spans="2:15" x14ac:dyDescent="0.2">
      <c r="B62" s="1" t="s">
        <v>58</v>
      </c>
      <c r="O62" s="1">
        <f>333+472</f>
        <v>805</v>
      </c>
    </row>
    <row r="63" spans="2:15" x14ac:dyDescent="0.2">
      <c r="B63" s="1" t="s">
        <v>59</v>
      </c>
      <c r="O63" s="1">
        <v>304</v>
      </c>
    </row>
    <row r="64" spans="2:15" x14ac:dyDescent="0.2">
      <c r="B64" s="1" t="s">
        <v>42</v>
      </c>
      <c r="O64" s="1">
        <v>-151</v>
      </c>
    </row>
    <row r="65" spans="2:15" x14ac:dyDescent="0.2">
      <c r="B65" s="1" t="s">
        <v>43</v>
      </c>
      <c r="O65" s="1">
        <v>-410</v>
      </c>
    </row>
    <row r="66" spans="2:15" x14ac:dyDescent="0.2">
      <c r="B66" s="1" t="s">
        <v>15</v>
      </c>
      <c r="O66" s="1">
        <v>-748</v>
      </c>
    </row>
    <row r="67" spans="2:15" s="7" customFormat="1" x14ac:dyDescent="0.2">
      <c r="B67" s="7" t="s">
        <v>60</v>
      </c>
      <c r="O67" s="7">
        <f>+SUM(O61:O66)</f>
        <v>1025</v>
      </c>
    </row>
    <row r="69" spans="2:15" x14ac:dyDescent="0.2">
      <c r="B69" s="1" t="s">
        <v>61</v>
      </c>
      <c r="O69" s="1">
        <v>-398</v>
      </c>
    </row>
    <row r="70" spans="2:15" x14ac:dyDescent="0.2">
      <c r="B70" s="1" t="s">
        <v>62</v>
      </c>
      <c r="O70" s="1">
        <v>-28</v>
      </c>
    </row>
    <row r="71" spans="2:15" x14ac:dyDescent="0.2">
      <c r="B71" s="1" t="s">
        <v>15</v>
      </c>
      <c r="O71" s="1">
        <v>1</v>
      </c>
    </row>
    <row r="72" spans="2:15" x14ac:dyDescent="0.2">
      <c r="B72" s="1" t="s">
        <v>63</v>
      </c>
      <c r="O72" s="1">
        <f>+SUM(O69:O71)</f>
        <v>-425</v>
      </c>
    </row>
    <row r="74" spans="2:15" x14ac:dyDescent="0.2">
      <c r="B74" s="1" t="s">
        <v>64</v>
      </c>
      <c r="O74" s="1">
        <v>-127</v>
      </c>
    </row>
    <row r="75" spans="2:15" x14ac:dyDescent="0.2">
      <c r="B75" s="1" t="s">
        <v>65</v>
      </c>
      <c r="O75" s="1">
        <v>-226</v>
      </c>
    </row>
    <row r="76" spans="2:15" x14ac:dyDescent="0.2">
      <c r="B76" s="1" t="s">
        <v>66</v>
      </c>
      <c r="O76" s="1">
        <v>134</v>
      </c>
    </row>
    <row r="77" spans="2:15" x14ac:dyDescent="0.2">
      <c r="B77" s="1" t="s">
        <v>52</v>
      </c>
      <c r="O77" s="1">
        <v>-957</v>
      </c>
    </row>
    <row r="78" spans="2:15" x14ac:dyDescent="0.2">
      <c r="B78" s="1" t="s">
        <v>67</v>
      </c>
      <c r="O78" s="1">
        <f>+SUM(O74:O77)</f>
        <v>-1176</v>
      </c>
    </row>
    <row r="79" spans="2:15" x14ac:dyDescent="0.2">
      <c r="B79" s="1" t="s">
        <v>68</v>
      </c>
      <c r="O79" s="1">
        <v>-36</v>
      </c>
    </row>
    <row r="80" spans="2:15" x14ac:dyDescent="0.2">
      <c r="B80" s="1" t="s">
        <v>69</v>
      </c>
      <c r="O80" s="1">
        <f>+O67+O72+O78+O79</f>
        <v>-612</v>
      </c>
    </row>
    <row r="82" spans="2:15" x14ac:dyDescent="0.2">
      <c r="B82" s="1" t="s">
        <v>70</v>
      </c>
      <c r="O82" s="1">
        <f>+O67+O69-O63</f>
        <v>323</v>
      </c>
    </row>
    <row r="84" spans="2:15" x14ac:dyDescent="0.2">
      <c r="B84" s="1" t="s">
        <v>73</v>
      </c>
      <c r="O84" s="1">
        <v>114000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2024-07-07T11:33:02Z</dcterms:created>
  <dcterms:modified xsi:type="dcterms:W3CDTF">2024-07-08T20:51:25Z</dcterms:modified>
</cp:coreProperties>
</file>