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Tech\"/>
    </mc:Choice>
  </mc:AlternateContent>
  <xr:revisionPtr revIDLastSave="0" documentId="13_ncr:1_{9167B12C-0C6C-4707-BB1D-7B7B57FA444E}" xr6:coauthVersionLast="47" xr6:coauthVersionMax="47" xr10:uidLastSave="{00000000-0000-0000-0000-000000000000}"/>
  <bookViews>
    <workbookView xWindow="90" yWindow="90" windowWidth="14085" windowHeight="15495" activeTab="1" xr2:uid="{BF0ED199-D007-45FC-B46E-A54D5303CC85}"/>
  </bookViews>
  <sheets>
    <sheet name="Main" sheetId="1" r:id="rId1"/>
    <sheet name="Model" sheetId="2" r:id="rId2"/>
    <sheet name="Segments" sheetId="3" r:id="rId3"/>
    <sheet name="Revenue qq, y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" i="2" l="1"/>
  <c r="V50" i="2"/>
  <c r="U50" i="2"/>
  <c r="T50" i="2"/>
  <c r="S50" i="2"/>
  <c r="R50" i="2"/>
  <c r="X50" i="2"/>
  <c r="C21" i="1" l="1"/>
  <c r="K8" i="1" l="1"/>
  <c r="K5" i="1"/>
  <c r="W4" i="4"/>
  <c r="L50" i="2"/>
  <c r="K50" i="2"/>
  <c r="J50" i="2"/>
  <c r="I50" i="2"/>
  <c r="H50" i="2"/>
  <c r="G50" i="2"/>
  <c r="F50" i="2"/>
  <c r="E50" i="2"/>
  <c r="D50" i="2"/>
  <c r="M50" i="2"/>
  <c r="I22" i="2"/>
  <c r="I7" i="2"/>
  <c r="B7" i="2"/>
  <c r="C7" i="2"/>
  <c r="D7" i="2"/>
  <c r="E7" i="2"/>
  <c r="F7" i="2"/>
  <c r="G7" i="2"/>
  <c r="H7" i="2"/>
  <c r="J7" i="2"/>
  <c r="J17" i="2"/>
  <c r="H17" i="2"/>
  <c r="U22" i="2"/>
  <c r="T22" i="2"/>
  <c r="S22" i="2"/>
  <c r="R22" i="2"/>
  <c r="C22" i="2"/>
  <c r="R29" i="2"/>
  <c r="R35" i="2" s="1"/>
  <c r="Q29" i="2"/>
  <c r="Q45" i="2" s="1"/>
  <c r="C29" i="2"/>
  <c r="C45" i="2" s="1"/>
  <c r="G22" i="2"/>
  <c r="F22" i="2"/>
  <c r="E22" i="2"/>
  <c r="D22" i="2"/>
  <c r="B22" i="2"/>
  <c r="B29" i="2"/>
  <c r="B35" i="2" s="1"/>
  <c r="S29" i="2"/>
  <c r="S45" i="2" s="1"/>
  <c r="T29" i="2"/>
  <c r="T45" i="2" s="1"/>
  <c r="S3" i="2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D29" i="2"/>
  <c r="D45" i="2" s="1"/>
  <c r="E29" i="2"/>
  <c r="E45" i="2" s="1"/>
  <c r="F29" i="2"/>
  <c r="F35" i="2" s="1"/>
  <c r="G29" i="2"/>
  <c r="G35" i="2" s="1"/>
  <c r="H29" i="2"/>
  <c r="H45" i="2" s="1"/>
  <c r="I29" i="2"/>
  <c r="I35" i="2" s="1"/>
  <c r="J15" i="3"/>
  <c r="J14" i="3"/>
  <c r="J13" i="3"/>
  <c r="J12" i="3"/>
  <c r="J11" i="3"/>
  <c r="J9" i="3"/>
  <c r="J7" i="3"/>
  <c r="J6" i="3"/>
  <c r="F15" i="3"/>
  <c r="F14" i="3"/>
  <c r="F13" i="3"/>
  <c r="F12" i="3"/>
  <c r="F11" i="3"/>
  <c r="F9" i="3"/>
  <c r="F7" i="3"/>
  <c r="F6" i="3"/>
  <c r="I15" i="3"/>
  <c r="H14" i="3"/>
  <c r="H13" i="3"/>
  <c r="H12" i="3"/>
  <c r="H11" i="3"/>
  <c r="H9" i="3"/>
  <c r="H7" i="3"/>
  <c r="H6" i="3"/>
  <c r="E15" i="3"/>
  <c r="K29" i="2"/>
  <c r="K45" i="2" s="1"/>
  <c r="M29" i="2"/>
  <c r="M35" i="2" s="1"/>
  <c r="J29" i="2"/>
  <c r="J45" i="2" s="1"/>
  <c r="L29" i="2"/>
  <c r="L35" i="2" s="1"/>
  <c r="L46" i="2" s="1"/>
  <c r="G15" i="3"/>
  <c r="K15" i="3"/>
  <c r="R46" i="2" l="1"/>
  <c r="R39" i="2"/>
  <c r="R45" i="2"/>
  <c r="Q35" i="2"/>
  <c r="C35" i="2"/>
  <c r="B39" i="2"/>
  <c r="B46" i="2"/>
  <c r="B45" i="2"/>
  <c r="S35" i="2"/>
  <c r="T35" i="2"/>
  <c r="D35" i="2"/>
  <c r="M39" i="2"/>
  <c r="M48" i="2" s="1"/>
  <c r="M46" i="2"/>
  <c r="L39" i="2"/>
  <c r="E35" i="2"/>
  <c r="F46" i="2"/>
  <c r="F39" i="2"/>
  <c r="F45" i="2"/>
  <c r="G46" i="2"/>
  <c r="G39" i="2"/>
  <c r="G45" i="2"/>
  <c r="H35" i="2"/>
  <c r="I45" i="2"/>
  <c r="I39" i="2"/>
  <c r="I46" i="2"/>
  <c r="H15" i="3"/>
  <c r="K35" i="2"/>
  <c r="J35" i="2"/>
  <c r="L45" i="2"/>
  <c r="M45" i="2"/>
  <c r="R48" i="2" l="1"/>
  <c r="R41" i="2"/>
  <c r="R47" i="2" s="1"/>
  <c r="Q39" i="2"/>
  <c r="Q46" i="2"/>
  <c r="C46" i="2"/>
  <c r="C39" i="2"/>
  <c r="B48" i="2"/>
  <c r="B41" i="2"/>
  <c r="B47" i="2" s="1"/>
  <c r="S46" i="2"/>
  <c r="S39" i="2"/>
  <c r="T46" i="2"/>
  <c r="T39" i="2"/>
  <c r="D46" i="2"/>
  <c r="D39" i="2"/>
  <c r="M41" i="2"/>
  <c r="M47" i="2" s="1"/>
  <c r="K39" i="2"/>
  <c r="K46" i="2"/>
  <c r="L41" i="2"/>
  <c r="L47" i="2" s="1"/>
  <c r="L48" i="2"/>
  <c r="J46" i="2"/>
  <c r="J39" i="2"/>
  <c r="E39" i="2"/>
  <c r="E46" i="2"/>
  <c r="F48" i="2"/>
  <c r="F41" i="2"/>
  <c r="F47" i="2" s="1"/>
  <c r="G48" i="2"/>
  <c r="G41" i="2"/>
  <c r="G47" i="2" s="1"/>
  <c r="H46" i="2"/>
  <c r="H39" i="2"/>
  <c r="I41" i="2"/>
  <c r="I47" i="2" s="1"/>
  <c r="I48" i="2"/>
  <c r="Q48" i="2" l="1"/>
  <c r="Q41" i="2"/>
  <c r="Q47" i="2" s="1"/>
  <c r="C48" i="2"/>
  <c r="C41" i="2"/>
  <c r="C47" i="2" s="1"/>
  <c r="S48" i="2"/>
  <c r="S41" i="2"/>
  <c r="S47" i="2" s="1"/>
  <c r="T48" i="2"/>
  <c r="T41" i="2"/>
  <c r="T47" i="2" s="1"/>
  <c r="D48" i="2"/>
  <c r="D41" i="2"/>
  <c r="D47" i="2" s="1"/>
  <c r="J41" i="2"/>
  <c r="J47" i="2" s="1"/>
  <c r="J48" i="2"/>
  <c r="K41" i="2"/>
  <c r="K47" i="2" s="1"/>
  <c r="K48" i="2"/>
  <c r="E48" i="2"/>
  <c r="E41" i="2"/>
  <c r="E47" i="2" s="1"/>
  <c r="H48" i="2"/>
  <c r="H41" i="2"/>
  <c r="H47" i="2" s="1"/>
</calcChain>
</file>

<file path=xl/sharedStrings.xml><?xml version="1.0" encoding="utf-8"?>
<sst xmlns="http://schemas.openxmlformats.org/spreadsheetml/2006/main" count="141" uniqueCount="99">
  <si>
    <t>Adyen</t>
  </si>
  <si>
    <t>(ADYEN)</t>
  </si>
  <si>
    <t>(in millions)</t>
  </si>
  <si>
    <t>Price</t>
  </si>
  <si>
    <t>Shares</t>
  </si>
  <si>
    <t>MC</t>
  </si>
  <si>
    <t>Cash</t>
  </si>
  <si>
    <t>Debt</t>
  </si>
  <si>
    <t>EV</t>
  </si>
  <si>
    <t>Digital</t>
  </si>
  <si>
    <t>Unified commerce</t>
  </si>
  <si>
    <t>Platforms</t>
  </si>
  <si>
    <t>Processed volume</t>
  </si>
  <si>
    <t>POS</t>
  </si>
  <si>
    <t>Q124</t>
  </si>
  <si>
    <t>Q123</t>
  </si>
  <si>
    <t>Q223</t>
  </si>
  <si>
    <t>Q323</t>
  </si>
  <si>
    <t>Q423</t>
  </si>
  <si>
    <t>Total FTEs</t>
  </si>
  <si>
    <t>Total processed volume</t>
  </si>
  <si>
    <t>(EUR billion)</t>
  </si>
  <si>
    <t>(EUR million)</t>
  </si>
  <si>
    <t>H223</t>
  </si>
  <si>
    <t>H123</t>
  </si>
  <si>
    <t>H222</t>
  </si>
  <si>
    <t>H122</t>
  </si>
  <si>
    <t>H221</t>
  </si>
  <si>
    <t>H121</t>
  </si>
  <si>
    <t>H220</t>
  </si>
  <si>
    <t>H120</t>
  </si>
  <si>
    <t>H219</t>
  </si>
  <si>
    <t>H119</t>
  </si>
  <si>
    <t>H218</t>
  </si>
  <si>
    <t>H118</t>
  </si>
  <si>
    <t>Revenue</t>
  </si>
  <si>
    <t>Cost of inventory</t>
  </si>
  <si>
    <t>Cost incurred from financial institution</t>
  </si>
  <si>
    <t>Q118</t>
  </si>
  <si>
    <t>Q318</t>
  </si>
  <si>
    <t>Q119</t>
  </si>
  <si>
    <t>Q319</t>
  </si>
  <si>
    <t>Q120</t>
  </si>
  <si>
    <t>Q320</t>
  </si>
  <si>
    <t>Q121</t>
  </si>
  <si>
    <t>Q222</t>
  </si>
  <si>
    <t>Q322</t>
  </si>
  <si>
    <t>Q422</t>
  </si>
  <si>
    <t>Q321</t>
  </si>
  <si>
    <t>Q122</t>
  </si>
  <si>
    <t>Gross margin</t>
  </si>
  <si>
    <t>Operating margin</t>
  </si>
  <si>
    <t>Net margin</t>
  </si>
  <si>
    <t>Tax rate</t>
  </si>
  <si>
    <t>Gross profit</t>
  </si>
  <si>
    <t>SG&amp;A</t>
  </si>
  <si>
    <t>D&amp;A</t>
  </si>
  <si>
    <t>Other operating expense</t>
  </si>
  <si>
    <t>Other income/expense</t>
  </si>
  <si>
    <t>EBIT</t>
  </si>
  <si>
    <t>Interest income</t>
  </si>
  <si>
    <t>Interest expense</t>
  </si>
  <si>
    <t>Pretax</t>
  </si>
  <si>
    <t>Taxes</t>
  </si>
  <si>
    <t>Net income</t>
  </si>
  <si>
    <t>EPS</t>
  </si>
  <si>
    <t>Benefit cost</t>
  </si>
  <si>
    <t>Other financial results</t>
  </si>
  <si>
    <t>Number of transaction</t>
  </si>
  <si>
    <t xml:space="preserve"> Mid-market (&lt;EUR 25mn annually)</t>
  </si>
  <si>
    <t>Enterprise volume (EUR bn)</t>
  </si>
  <si>
    <t>Mid-market volume (EUR bn)</t>
  </si>
  <si>
    <t>n/a</t>
  </si>
  <si>
    <t>POS volume as %</t>
  </si>
  <si>
    <t>Q218</t>
  </si>
  <si>
    <t>Q418</t>
  </si>
  <si>
    <t>Q219</t>
  </si>
  <si>
    <t>Q419</t>
  </si>
  <si>
    <t>Q220</t>
  </si>
  <si>
    <t>Q420</t>
  </si>
  <si>
    <t>Q421</t>
  </si>
  <si>
    <t>Q224</t>
  </si>
  <si>
    <t>Q324</t>
  </si>
  <si>
    <t>Q424</t>
  </si>
  <si>
    <t>H124</t>
  </si>
  <si>
    <t>H224</t>
  </si>
  <si>
    <t xml:space="preserve">Revenue y/y </t>
  </si>
  <si>
    <t>Q212</t>
  </si>
  <si>
    <t>Revenuie y/y</t>
  </si>
  <si>
    <t>Revenue q/q</t>
  </si>
  <si>
    <t>(in millions €)</t>
  </si>
  <si>
    <t>Stripe valuation €47B (15-03-2023)</t>
  </si>
  <si>
    <t>100 businesses now handle more than $1B on Stripe every year</t>
  </si>
  <si>
    <t>AI companies: OpenAI, Anthropic, Midjourney, Copy.ai, Coreweave</t>
  </si>
  <si>
    <t>Competitor: Stripe</t>
  </si>
  <si>
    <t>$817B in payments processed by businesses on Stripe in 2022</t>
  </si>
  <si>
    <t>Billing Applications is now Stripe's second product</t>
  </si>
  <si>
    <t>Partners: Nvidia, Amazon, Ford, Salesforce, BMW, Maersk</t>
  </si>
  <si>
    <t>Competitors: Stripe, PayPal, Venmo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</si>
</sst>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\x"/>
    <numFmt numFmtId="168" formatCode="h:mm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164" fontId="0" fillId="0" borderId="0" xfId="0" applyNumberFormat="1"/>
    <xf numFmtId="4" fontId="1" fillId="0" borderId="0" xfId="0" applyNumberFormat="1" applyFont="1" applyAlignment="1">
      <alignment horizontal="lef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2" fillId="0" borderId="0" xfId="0" applyNumberFormat="1" applyFont="1"/>
    <xf numFmtId="3" fontId="0" fillId="0" borderId="0" xfId="0" applyNumberFormat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19050</xdr:rowOff>
    </xdr:from>
    <xdr:to>
      <xdr:col>24</xdr:col>
      <xdr:colOff>19050</xdr:colOff>
      <xdr:row>85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95C8D09-B5DF-4395-B2E5-1B95BF6DA72E}"/>
            </a:ext>
          </a:extLst>
        </xdr:cNvPr>
        <xdr:cNvCxnSpPr/>
      </xdr:nvCxnSpPr>
      <xdr:spPr>
        <a:xfrm>
          <a:off x="16259175" y="19050"/>
          <a:ext cx="0" cy="1413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0</xdr:row>
      <xdr:rowOff>57150</xdr:rowOff>
    </xdr:from>
    <xdr:to>
      <xdr:col>15</xdr:col>
      <xdr:colOff>19050</xdr:colOff>
      <xdr:row>85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1B95315-27AE-4B2C-90BF-3ED6D1C7D433}"/>
            </a:ext>
          </a:extLst>
        </xdr:cNvPr>
        <xdr:cNvCxnSpPr/>
      </xdr:nvCxnSpPr>
      <xdr:spPr>
        <a:xfrm>
          <a:off x="10772775" y="57150"/>
          <a:ext cx="0" cy="14097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0</xdr:row>
      <xdr:rowOff>47625</xdr:rowOff>
    </xdr:from>
    <xdr:to>
      <xdr:col>26</xdr:col>
      <xdr:colOff>9525</xdr:colOff>
      <xdr:row>34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FCBE051-F754-4E4E-2258-EF09028DB243}"/>
            </a:ext>
          </a:extLst>
        </xdr:cNvPr>
        <xdr:cNvCxnSpPr/>
      </xdr:nvCxnSpPr>
      <xdr:spPr>
        <a:xfrm>
          <a:off x="16021050" y="47625"/>
          <a:ext cx="0" cy="5610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C715-CA74-474D-B7A2-ECB42BBB2A89}">
  <dimension ref="A1:L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RowHeight="12.75" x14ac:dyDescent="0.2"/>
  <cols>
    <col min="1" max="1" width="17.140625" bestFit="1" customWidth="1"/>
  </cols>
  <sheetData>
    <row r="1" spans="1:12" ht="34.5" x14ac:dyDescent="0.45">
      <c r="A1" s="1" t="s">
        <v>0</v>
      </c>
    </row>
    <row r="2" spans="1:12" x14ac:dyDescent="0.2">
      <c r="A2" s="2" t="s">
        <v>1</v>
      </c>
      <c r="B2" t="s">
        <v>98</v>
      </c>
    </row>
    <row r="3" spans="1:12" x14ac:dyDescent="0.2">
      <c r="A3" s="2" t="s">
        <v>90</v>
      </c>
      <c r="J3" t="s">
        <v>3</v>
      </c>
      <c r="K3" s="3">
        <v>1237</v>
      </c>
    </row>
    <row r="4" spans="1:12" x14ac:dyDescent="0.2">
      <c r="J4" t="s">
        <v>4</v>
      </c>
      <c r="K4" s="3">
        <v>31.148</v>
      </c>
      <c r="L4" s="4" t="s">
        <v>84</v>
      </c>
    </row>
    <row r="5" spans="1:12" x14ac:dyDescent="0.2">
      <c r="J5" t="s">
        <v>5</v>
      </c>
      <c r="K5" s="3">
        <f>+K3*K4</f>
        <v>38530.076000000001</v>
      </c>
      <c r="L5" s="4"/>
    </row>
    <row r="6" spans="1:12" x14ac:dyDescent="0.2">
      <c r="J6" t="s">
        <v>6</v>
      </c>
      <c r="K6" s="3">
        <v>8735.2720000000008</v>
      </c>
      <c r="L6" s="4" t="s">
        <v>84</v>
      </c>
    </row>
    <row r="7" spans="1:12" x14ac:dyDescent="0.2">
      <c r="J7" t="s">
        <v>7</v>
      </c>
      <c r="K7" s="3">
        <v>0</v>
      </c>
      <c r="L7" s="4" t="s">
        <v>84</v>
      </c>
    </row>
    <row r="8" spans="1:12" x14ac:dyDescent="0.2">
      <c r="J8" t="s">
        <v>8</v>
      </c>
      <c r="K8" s="3">
        <f>+K5-K6+K7</f>
        <v>29794.804</v>
      </c>
    </row>
    <row r="9" spans="1:12" x14ac:dyDescent="0.2">
      <c r="B9" s="5" t="s">
        <v>94</v>
      </c>
      <c r="K9" s="3"/>
    </row>
    <row r="10" spans="1:12" x14ac:dyDescent="0.2">
      <c r="B10" t="s">
        <v>91</v>
      </c>
      <c r="K10" s="3"/>
    </row>
    <row r="11" spans="1:12" x14ac:dyDescent="0.2">
      <c r="B11" t="s">
        <v>92</v>
      </c>
      <c r="K11" s="6"/>
    </row>
    <row r="12" spans="1:12" x14ac:dyDescent="0.2">
      <c r="B12" t="s">
        <v>95</v>
      </c>
    </row>
    <row r="14" spans="1:12" x14ac:dyDescent="0.2">
      <c r="B14" t="s">
        <v>97</v>
      </c>
    </row>
    <row r="15" spans="1:12" x14ac:dyDescent="0.2">
      <c r="B15" t="s">
        <v>93</v>
      </c>
    </row>
    <row r="17" spans="2:3" x14ac:dyDescent="0.2">
      <c r="B17" t="s">
        <v>96</v>
      </c>
    </row>
    <row r="19" spans="2:3" x14ac:dyDescent="0.2">
      <c r="B19" t="s">
        <v>3</v>
      </c>
      <c r="C19">
        <v>38.78</v>
      </c>
    </row>
    <row r="20" spans="2:3" x14ac:dyDescent="0.2">
      <c r="B20" t="s">
        <v>4</v>
      </c>
      <c r="C20" s="3">
        <v>2500</v>
      </c>
    </row>
    <row r="21" spans="2:3" x14ac:dyDescent="0.2">
      <c r="B21" t="s">
        <v>5</v>
      </c>
      <c r="C21" s="3">
        <f>+C19*C20</f>
        <v>96950</v>
      </c>
    </row>
    <row r="22" spans="2:3" x14ac:dyDescent="0.2">
      <c r="B22" t="s">
        <v>6</v>
      </c>
      <c r="C22" s="3"/>
    </row>
    <row r="23" spans="2:3" x14ac:dyDescent="0.2">
      <c r="B23" t="s">
        <v>7</v>
      </c>
      <c r="C23" s="3"/>
    </row>
    <row r="24" spans="2:3" x14ac:dyDescent="0.2">
      <c r="B24" t="s">
        <v>8</v>
      </c>
      <c r="C24" s="3">
        <v>65000</v>
      </c>
    </row>
    <row r="25" spans="2:3" x14ac:dyDescent="0.2">
      <c r="C25" s="3">
        <v>9100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188E-A419-4852-AFF3-BB774E8760D0}">
  <dimension ref="A1:AG54"/>
  <sheetViews>
    <sheetView tabSelected="1" workbookViewId="0">
      <pane xSplit="1" ySplit="3" topLeftCell="P19" activePane="bottomRight" state="frozen"/>
      <selection pane="topRight" activeCell="B1" sqref="B1"/>
      <selection pane="bottomLeft" activeCell="A4" sqref="A4"/>
      <selection pane="bottomRight" activeCell="V30" sqref="V30"/>
    </sheetView>
  </sheetViews>
  <sheetFormatPr defaultRowHeight="12.75" x14ac:dyDescent="0.2"/>
  <cols>
    <col min="1" max="1" width="32.7109375" bestFit="1" customWidth="1"/>
    <col min="2" max="2" width="9.7109375" style="3" customWidth="1"/>
    <col min="3" max="16384" width="9.140625" style="3"/>
  </cols>
  <sheetData>
    <row r="1" spans="1:33" customFormat="1" ht="34.5" x14ac:dyDescent="0.45">
      <c r="A1" s="1" t="s">
        <v>0</v>
      </c>
      <c r="B1" s="1"/>
    </row>
    <row r="2" spans="1:33" customFormat="1" x14ac:dyDescent="0.2">
      <c r="A2" s="2" t="s">
        <v>1</v>
      </c>
    </row>
    <row r="3" spans="1:33" s="4" customFormat="1" x14ac:dyDescent="0.2">
      <c r="A3" s="2" t="s">
        <v>2</v>
      </c>
      <c r="B3" s="4" t="s">
        <v>34</v>
      </c>
      <c r="C3" s="4" t="s">
        <v>33</v>
      </c>
      <c r="D3" s="4" t="s">
        <v>32</v>
      </c>
      <c r="E3" s="4" t="s">
        <v>31</v>
      </c>
      <c r="F3" s="4" t="s">
        <v>30</v>
      </c>
      <c r="G3" s="4" t="s">
        <v>29</v>
      </c>
      <c r="H3" s="4" t="s">
        <v>28</v>
      </c>
      <c r="I3" s="4" t="s">
        <v>27</v>
      </c>
      <c r="J3" s="4" t="s">
        <v>26</v>
      </c>
      <c r="K3" s="4" t="s">
        <v>25</v>
      </c>
      <c r="L3" s="4" t="s">
        <v>24</v>
      </c>
      <c r="M3" s="4" t="s">
        <v>23</v>
      </c>
      <c r="N3" s="4" t="s">
        <v>84</v>
      </c>
      <c r="O3" s="4" t="s">
        <v>85</v>
      </c>
      <c r="Q3" s="4">
        <v>2017</v>
      </c>
      <c r="R3" s="4">
        <v>2018</v>
      </c>
      <c r="S3" s="4">
        <f>+R3+1</f>
        <v>2019</v>
      </c>
      <c r="T3" s="4">
        <f t="shared" ref="T3:AG3" si="0">+S3+1</f>
        <v>2020</v>
      </c>
      <c r="U3" s="4">
        <f t="shared" si="0"/>
        <v>2021</v>
      </c>
      <c r="V3" s="4">
        <f t="shared" si="0"/>
        <v>2022</v>
      </c>
      <c r="W3" s="4">
        <f t="shared" si="0"/>
        <v>2023</v>
      </c>
      <c r="X3" s="4">
        <f t="shared" si="0"/>
        <v>2024</v>
      </c>
      <c r="Y3" s="4">
        <f t="shared" si="0"/>
        <v>2025</v>
      </c>
      <c r="Z3" s="4">
        <f t="shared" si="0"/>
        <v>2026</v>
      </c>
      <c r="AA3" s="4">
        <f t="shared" si="0"/>
        <v>2027</v>
      </c>
      <c r="AB3" s="4">
        <f t="shared" si="0"/>
        <v>2028</v>
      </c>
      <c r="AC3" s="4">
        <f t="shared" si="0"/>
        <v>2029</v>
      </c>
      <c r="AD3" s="4">
        <f t="shared" si="0"/>
        <v>2030</v>
      </c>
      <c r="AE3" s="4">
        <f t="shared" si="0"/>
        <v>2031</v>
      </c>
      <c r="AF3" s="4">
        <f t="shared" si="0"/>
        <v>2032</v>
      </c>
      <c r="AG3" s="4">
        <f t="shared" si="0"/>
        <v>2033</v>
      </c>
    </row>
    <row r="4" spans="1:33" s="4" customFormat="1" x14ac:dyDescent="0.2">
      <c r="A4" s="7" t="s">
        <v>21</v>
      </c>
      <c r="B4"/>
    </row>
    <row r="5" spans="1:33" s="4" customFormat="1" x14ac:dyDescent="0.2">
      <c r="A5" s="3" t="s">
        <v>12</v>
      </c>
      <c r="B5">
        <v>70</v>
      </c>
      <c r="C5" s="4">
        <v>89</v>
      </c>
      <c r="D5" s="4">
        <v>104.6</v>
      </c>
      <c r="E5" s="4">
        <v>135</v>
      </c>
      <c r="F5" s="4">
        <v>129.1</v>
      </c>
      <c r="G5" s="4">
        <v>174.5</v>
      </c>
      <c r="H5" s="4">
        <v>216</v>
      </c>
      <c r="I5" s="4">
        <v>300</v>
      </c>
      <c r="J5" s="4">
        <v>345.8</v>
      </c>
      <c r="Q5" s="4">
        <v>108.4</v>
      </c>
      <c r="R5" s="4">
        <v>159</v>
      </c>
      <c r="S5" s="4">
        <v>239.6</v>
      </c>
      <c r="T5" s="4">
        <v>303.60000000000002</v>
      </c>
      <c r="U5" s="4">
        <v>516</v>
      </c>
    </row>
    <row r="6" spans="1:33" s="4" customFormat="1" x14ac:dyDescent="0.2">
      <c r="A6" s="8" t="s">
        <v>13</v>
      </c>
      <c r="B6">
        <v>6.6</v>
      </c>
      <c r="C6" s="4">
        <v>10</v>
      </c>
      <c r="D6" s="4">
        <v>11</v>
      </c>
      <c r="E6" s="4">
        <v>18.2</v>
      </c>
      <c r="F6" s="4">
        <v>11</v>
      </c>
      <c r="G6" s="4">
        <v>21.3</v>
      </c>
      <c r="H6" s="4">
        <v>22.8</v>
      </c>
      <c r="I6" s="4">
        <v>41.8</v>
      </c>
      <c r="J6" s="4">
        <v>44.9</v>
      </c>
      <c r="Q6" s="4">
        <v>8.4</v>
      </c>
      <c r="R6" s="4">
        <v>16.600000000000001</v>
      </c>
      <c r="S6" s="4">
        <v>29.2</v>
      </c>
      <c r="T6" s="4">
        <v>32.200000000000003</v>
      </c>
      <c r="U6" s="4">
        <v>64.599999999999994</v>
      </c>
    </row>
    <row r="7" spans="1:33" s="10" customFormat="1" x14ac:dyDescent="0.2">
      <c r="A7" s="9" t="s">
        <v>73</v>
      </c>
      <c r="B7" s="10">
        <f t="shared" ref="B7:J7" si="1">+B6/B5</f>
        <v>9.4285714285714278E-2</v>
      </c>
      <c r="C7" s="10">
        <f t="shared" si="1"/>
        <v>0.11235955056179775</v>
      </c>
      <c r="D7" s="10">
        <f t="shared" si="1"/>
        <v>0.10516252390057362</v>
      </c>
      <c r="E7" s="10">
        <f t="shared" si="1"/>
        <v>0.1348148148148148</v>
      </c>
      <c r="F7" s="10">
        <f t="shared" si="1"/>
        <v>8.5205267234701787E-2</v>
      </c>
      <c r="G7" s="10">
        <f t="shared" si="1"/>
        <v>0.12206303724928368</v>
      </c>
      <c r="H7" s="10">
        <f t="shared" si="1"/>
        <v>0.10555555555555556</v>
      </c>
      <c r="I7" s="10">
        <f t="shared" si="1"/>
        <v>0.13933333333333334</v>
      </c>
      <c r="J7" s="10">
        <f t="shared" si="1"/>
        <v>0.12984384037015614</v>
      </c>
    </row>
    <row r="8" spans="1:33" s="4" customFormat="1" x14ac:dyDescent="0.2">
      <c r="A8" s="3"/>
      <c r="B8"/>
    </row>
    <row r="9" spans="1:33" s="4" customFormat="1" x14ac:dyDescent="0.2">
      <c r="A9" s="11" t="s">
        <v>68</v>
      </c>
      <c r="B9">
        <v>2.5</v>
      </c>
      <c r="C9" s="4">
        <v>3</v>
      </c>
      <c r="D9" s="4">
        <v>3.6</v>
      </c>
      <c r="E9" s="4">
        <v>4.7</v>
      </c>
      <c r="F9" s="4">
        <v>4.8</v>
      </c>
      <c r="G9" s="4">
        <v>6.3</v>
      </c>
      <c r="H9" s="4">
        <v>7.2</v>
      </c>
      <c r="I9" s="4">
        <v>8.5</v>
      </c>
      <c r="J9" s="4">
        <v>9</v>
      </c>
      <c r="Q9" s="4" t="s">
        <v>72</v>
      </c>
      <c r="R9" s="4">
        <v>5.5</v>
      </c>
      <c r="S9" s="4">
        <v>8.3000000000000007</v>
      </c>
      <c r="T9" s="4">
        <v>11.1</v>
      </c>
      <c r="U9" s="4">
        <v>15.7</v>
      </c>
    </row>
    <row r="10" spans="1:33" s="4" customFormat="1" x14ac:dyDescent="0.2">
      <c r="A10" s="3"/>
      <c r="B10"/>
    </row>
    <row r="11" spans="1:33" s="4" customFormat="1" x14ac:dyDescent="0.2">
      <c r="A11" s="3" t="s">
        <v>9</v>
      </c>
      <c r="B11"/>
      <c r="H11" s="4">
        <v>140.80000000000001</v>
      </c>
      <c r="J11" s="4">
        <v>217.6</v>
      </c>
    </row>
    <row r="12" spans="1:33" s="4" customFormat="1" x14ac:dyDescent="0.2">
      <c r="A12" s="8" t="s">
        <v>13</v>
      </c>
      <c r="B12"/>
      <c r="H12" s="4">
        <v>0</v>
      </c>
      <c r="J12" s="4">
        <v>0</v>
      </c>
    </row>
    <row r="13" spans="1:33" s="4" customFormat="1" x14ac:dyDescent="0.2">
      <c r="A13" s="3" t="s">
        <v>10</v>
      </c>
      <c r="B13"/>
      <c r="H13" s="4">
        <v>43.8</v>
      </c>
      <c r="J13" s="4">
        <v>80.099999999999994</v>
      </c>
    </row>
    <row r="14" spans="1:33" s="4" customFormat="1" x14ac:dyDescent="0.2">
      <c r="A14" s="8" t="s">
        <v>13</v>
      </c>
      <c r="B14"/>
      <c r="H14" s="4">
        <v>22.2</v>
      </c>
      <c r="J14" s="4">
        <v>42.6</v>
      </c>
    </row>
    <row r="15" spans="1:33" s="4" customFormat="1" x14ac:dyDescent="0.2">
      <c r="A15" s="3" t="s">
        <v>11</v>
      </c>
      <c r="B15"/>
      <c r="H15" s="4">
        <v>31.4</v>
      </c>
      <c r="J15" s="4">
        <v>48.1</v>
      </c>
    </row>
    <row r="16" spans="1:33" s="4" customFormat="1" x14ac:dyDescent="0.2">
      <c r="A16" s="8" t="s">
        <v>13</v>
      </c>
      <c r="B16"/>
      <c r="H16" s="4">
        <v>0.6</v>
      </c>
      <c r="J16" s="4">
        <v>2.2999999999999998</v>
      </c>
    </row>
    <row r="17" spans="1:24" s="4" customFormat="1" x14ac:dyDescent="0.2">
      <c r="A17" s="3" t="s">
        <v>20</v>
      </c>
      <c r="B17"/>
      <c r="H17" s="4">
        <f>+H15+H13+H11</f>
        <v>216</v>
      </c>
      <c r="J17" s="4">
        <f>+J15+J13+J11</f>
        <v>345.79999999999995</v>
      </c>
    </row>
    <row r="18" spans="1:24" s="4" customFormat="1" x14ac:dyDescent="0.2">
      <c r="A18" s="3"/>
      <c r="B18"/>
    </row>
    <row r="19" spans="1:24" s="4" customFormat="1" x14ac:dyDescent="0.2">
      <c r="A19" s="12" t="s">
        <v>69</v>
      </c>
      <c r="B19"/>
    </row>
    <row r="20" spans="1:24" s="4" customFormat="1" x14ac:dyDescent="0.2">
      <c r="A20" s="11" t="s">
        <v>70</v>
      </c>
      <c r="B20">
        <v>66.5</v>
      </c>
      <c r="C20" s="4">
        <v>85</v>
      </c>
      <c r="D20" s="4">
        <v>100.4</v>
      </c>
      <c r="E20" s="4">
        <v>130.19999999999999</v>
      </c>
      <c r="F20" s="4">
        <v>123.9</v>
      </c>
      <c r="G20" s="4">
        <v>168.9</v>
      </c>
      <c r="I20" s="4">
        <v>292.60000000000002</v>
      </c>
      <c r="Q20" s="4" t="s">
        <v>72</v>
      </c>
      <c r="R20" s="4">
        <v>151.6</v>
      </c>
      <c r="S20" s="4">
        <v>230.6</v>
      </c>
      <c r="T20" s="4">
        <v>292.8</v>
      </c>
      <c r="U20" s="4">
        <v>502.3</v>
      </c>
    </row>
    <row r="21" spans="1:24" s="4" customFormat="1" x14ac:dyDescent="0.2">
      <c r="A21" s="11" t="s">
        <v>71</v>
      </c>
      <c r="B21">
        <v>3.5</v>
      </c>
      <c r="C21" s="4">
        <v>4</v>
      </c>
      <c r="D21" s="4">
        <v>4.2</v>
      </c>
      <c r="E21" s="4">
        <v>4.8</v>
      </c>
      <c r="F21" s="4">
        <v>5.2</v>
      </c>
      <c r="G21" s="4">
        <v>5.6</v>
      </c>
      <c r="I21" s="4">
        <v>7.4</v>
      </c>
      <c r="Q21" s="4" t="s">
        <v>72</v>
      </c>
      <c r="R21" s="4">
        <v>7.5</v>
      </c>
      <c r="S21" s="4">
        <v>9</v>
      </c>
      <c r="T21" s="4">
        <v>10.8</v>
      </c>
      <c r="U21" s="4">
        <v>13.8</v>
      </c>
    </row>
    <row r="22" spans="1:24" s="4" customFormat="1" x14ac:dyDescent="0.2">
      <c r="A22" s="11" t="s">
        <v>20</v>
      </c>
      <c r="B22">
        <f t="shared" ref="B22:G22" si="2">+B20+B21</f>
        <v>70</v>
      </c>
      <c r="C22">
        <f t="shared" si="2"/>
        <v>89</v>
      </c>
      <c r="D22">
        <f t="shared" si="2"/>
        <v>104.60000000000001</v>
      </c>
      <c r="E22">
        <f t="shared" si="2"/>
        <v>135</v>
      </c>
      <c r="F22">
        <f t="shared" si="2"/>
        <v>129.1</v>
      </c>
      <c r="G22">
        <f t="shared" si="2"/>
        <v>174.5</v>
      </c>
      <c r="I22">
        <f>+I20+I21</f>
        <v>300</v>
      </c>
      <c r="Q22"/>
      <c r="R22">
        <f>+R20+R21</f>
        <v>159.1</v>
      </c>
      <c r="S22">
        <f>+S20+S21</f>
        <v>239.6</v>
      </c>
      <c r="T22">
        <f>+T20+T21</f>
        <v>303.60000000000002</v>
      </c>
      <c r="U22">
        <f>+U20+U21</f>
        <v>516.1</v>
      </c>
    </row>
    <row r="23" spans="1:24" s="4" customFormat="1" x14ac:dyDescent="0.2">
      <c r="A23" s="11"/>
      <c r="B23"/>
    </row>
    <row r="24" spans="1:24" s="4" customFormat="1" x14ac:dyDescent="0.2">
      <c r="A24" s="3" t="s">
        <v>19</v>
      </c>
      <c r="B24"/>
    </row>
    <row r="26" spans="1:24" s="13" customFormat="1" x14ac:dyDescent="0.2">
      <c r="A26" s="5" t="s">
        <v>35</v>
      </c>
      <c r="B26" s="13">
        <v>697.08100000000002</v>
      </c>
      <c r="C26" s="13">
        <v>955.86699999999996</v>
      </c>
      <c r="D26" s="13">
        <v>1144.1559999999999</v>
      </c>
      <c r="E26" s="13">
        <v>1512.6179999999999</v>
      </c>
      <c r="F26" s="13">
        <v>1560.0740000000001</v>
      </c>
      <c r="G26" s="13">
        <v>2081.3150000000001</v>
      </c>
      <c r="H26" s="13">
        <v>2554.2310000000002</v>
      </c>
      <c r="I26" s="13">
        <v>3441.1880000000001</v>
      </c>
      <c r="J26" s="13">
        <v>3947.4810000000002</v>
      </c>
      <c r="K26" s="13">
        <v>4988.13</v>
      </c>
      <c r="L26" s="13">
        <v>853.55</v>
      </c>
      <c r="M26" s="13">
        <v>1009.856</v>
      </c>
      <c r="Q26" s="13">
        <v>1012.44</v>
      </c>
      <c r="R26" s="13">
        <v>1652.9480000000001</v>
      </c>
      <c r="S26" s="13">
        <v>2656.7739999999999</v>
      </c>
      <c r="T26" s="13">
        <v>3641.3890000000001</v>
      </c>
      <c r="W26" s="13">
        <v>1863.4059999999999</v>
      </c>
      <c r="X26" s="13">
        <v>2226.6010000000001</v>
      </c>
    </row>
    <row r="27" spans="1:24" x14ac:dyDescent="0.2">
      <c r="A27" t="s">
        <v>37</v>
      </c>
      <c r="B27" s="3">
        <v>527.49800000000005</v>
      </c>
      <c r="C27" s="3">
        <v>742.97400000000005</v>
      </c>
      <c r="D27" s="3">
        <v>898.48400000000004</v>
      </c>
      <c r="E27" s="3">
        <v>1207.4449999999999</v>
      </c>
      <c r="F27" s="3">
        <v>1246.2429999999999</v>
      </c>
      <c r="G27" s="3">
        <v>1688.9390000000001</v>
      </c>
      <c r="H27" s="3">
        <v>2093.7199999999998</v>
      </c>
      <c r="I27" s="3">
        <v>2867.2310000000002</v>
      </c>
      <c r="J27" s="3">
        <v>3313.2689999999998</v>
      </c>
      <c r="K27" s="3">
        <v>4237.6909999999998</v>
      </c>
      <c r="L27" s="3">
        <v>74.409000000000006</v>
      </c>
      <c r="M27" s="3">
        <v>73.402000000000001</v>
      </c>
      <c r="Q27" s="3">
        <v>781.50199999999995</v>
      </c>
      <c r="R27" s="3">
        <v>1270.473</v>
      </c>
      <c r="S27" s="3">
        <v>2105.9290000000001</v>
      </c>
      <c r="T27" s="3">
        <v>2935.1819999999998</v>
      </c>
    </row>
    <row r="28" spans="1:24" x14ac:dyDescent="0.2">
      <c r="A28" t="s">
        <v>36</v>
      </c>
      <c r="B28" s="3">
        <v>3.879</v>
      </c>
      <c r="C28" s="3">
        <v>5.1509999999999998</v>
      </c>
      <c r="D28" s="3">
        <v>8.0050000000000008</v>
      </c>
      <c r="E28" s="3">
        <v>8.5399999999999991</v>
      </c>
      <c r="F28" s="3">
        <v>9.0239999999999991</v>
      </c>
      <c r="G28" s="3">
        <v>12.983000000000001</v>
      </c>
      <c r="H28" s="3">
        <v>15.49</v>
      </c>
      <c r="I28" s="3">
        <v>17.460999999999999</v>
      </c>
      <c r="J28" s="3">
        <v>25.683</v>
      </c>
      <c r="K28" s="3">
        <v>28.802</v>
      </c>
      <c r="L28" s="3">
        <v>40.033999999999999</v>
      </c>
      <c r="M28" s="3">
        <v>49.5</v>
      </c>
      <c r="Q28" s="3">
        <v>12.66</v>
      </c>
      <c r="R28" s="3">
        <v>9.0289999999999999</v>
      </c>
      <c r="S28" s="3">
        <v>16.545000000000002</v>
      </c>
      <c r="T28" s="3">
        <v>22.007000000000001</v>
      </c>
    </row>
    <row r="29" spans="1:24" s="13" customFormat="1" x14ac:dyDescent="0.2">
      <c r="A29" s="5" t="s">
        <v>54</v>
      </c>
      <c r="B29" s="13">
        <f t="shared" ref="B29:M29" si="3">+B26-SUM(B27:B28)</f>
        <v>165.70399999999995</v>
      </c>
      <c r="C29" s="13">
        <f t="shared" si="3"/>
        <v>207.74199999999996</v>
      </c>
      <c r="D29" s="13">
        <f t="shared" si="3"/>
        <v>237.66699999999992</v>
      </c>
      <c r="E29" s="13">
        <f t="shared" si="3"/>
        <v>296.63300000000004</v>
      </c>
      <c r="F29" s="13">
        <f t="shared" si="3"/>
        <v>304.80700000000024</v>
      </c>
      <c r="G29" s="13">
        <f t="shared" si="3"/>
        <v>379.39300000000003</v>
      </c>
      <c r="H29" s="13">
        <f t="shared" si="3"/>
        <v>445.02100000000064</v>
      </c>
      <c r="I29" s="13">
        <f t="shared" si="3"/>
        <v>556.49600000000009</v>
      </c>
      <c r="J29" s="13">
        <f t="shared" si="3"/>
        <v>608.52900000000045</v>
      </c>
      <c r="K29" s="13">
        <f t="shared" si="3"/>
        <v>721.63700000000063</v>
      </c>
      <c r="L29" s="13">
        <f t="shared" si="3"/>
        <v>739.10699999999997</v>
      </c>
      <c r="M29" s="13">
        <f t="shared" si="3"/>
        <v>886.95399999999995</v>
      </c>
      <c r="Q29" s="13">
        <f>+Q26-SUM(Q27:Q28)</f>
        <v>218.27800000000013</v>
      </c>
      <c r="R29" s="13">
        <f>+R26-SUM(R27:R28)</f>
        <v>373.44600000000014</v>
      </c>
      <c r="S29" s="13">
        <f>+S26-SUM(S27:S28)</f>
        <v>534.29999999999973</v>
      </c>
      <c r="T29" s="13">
        <f>+T26-SUM(T27:T28)</f>
        <v>684.20000000000027</v>
      </c>
    </row>
    <row r="30" spans="1:24" x14ac:dyDescent="0.2">
      <c r="A30" t="s">
        <v>55</v>
      </c>
      <c r="B30" s="3">
        <v>37.088999999999999</v>
      </c>
      <c r="C30" s="3">
        <v>35.627000000000002</v>
      </c>
      <c r="D30" s="3">
        <v>45.012</v>
      </c>
      <c r="E30" s="3">
        <v>55.438000000000002</v>
      </c>
      <c r="F30" s="3">
        <v>73.867999999999995</v>
      </c>
      <c r="G30" s="3">
        <v>77.572000000000003</v>
      </c>
      <c r="H30" s="3">
        <v>98.207999999999998</v>
      </c>
      <c r="I30" s="3">
        <v>100.93300000000001</v>
      </c>
      <c r="J30" s="3">
        <v>134.94399999999999</v>
      </c>
      <c r="K30" s="3">
        <v>193.37200000000001</v>
      </c>
      <c r="L30" s="3">
        <v>247.31</v>
      </c>
      <c r="M30" s="3">
        <v>267.02</v>
      </c>
      <c r="Q30" s="3">
        <v>55.561999999999998</v>
      </c>
      <c r="R30" s="3">
        <v>72.715999999999994</v>
      </c>
      <c r="S30" s="3">
        <v>100.45</v>
      </c>
      <c r="T30" s="3">
        <v>151.44</v>
      </c>
    </row>
    <row r="31" spans="1:24" x14ac:dyDescent="0.2">
      <c r="A31" t="s">
        <v>66</v>
      </c>
      <c r="B31" s="3">
        <v>6.5069999999999997</v>
      </c>
      <c r="C31" s="3">
        <v>7.86</v>
      </c>
      <c r="D31" s="3">
        <v>9.8030000000000008</v>
      </c>
      <c r="E31" s="3">
        <v>12.194000000000001</v>
      </c>
      <c r="F31" s="3">
        <v>13.733000000000001</v>
      </c>
      <c r="G31" s="3">
        <v>14.840999999999999</v>
      </c>
      <c r="H31" s="3">
        <v>20.821000000000002</v>
      </c>
      <c r="I31" s="3">
        <v>20.577000000000002</v>
      </c>
      <c r="J31" s="3">
        <v>23.561</v>
      </c>
      <c r="K31" s="3">
        <v>28.71</v>
      </c>
      <c r="L31" s="3">
        <v>38.637999999999998</v>
      </c>
      <c r="M31" s="3">
        <v>41.066000000000003</v>
      </c>
      <c r="Q31" s="3">
        <v>9.1880000000000006</v>
      </c>
      <c r="R31" s="3">
        <v>14.367000000000001</v>
      </c>
      <c r="S31" s="3">
        <v>21.997</v>
      </c>
      <c r="T31" s="3">
        <v>28.574000000000002</v>
      </c>
    </row>
    <row r="32" spans="1:24" x14ac:dyDescent="0.2">
      <c r="A32" t="s">
        <v>56</v>
      </c>
      <c r="B32" s="3">
        <v>4.048</v>
      </c>
      <c r="C32" s="3">
        <v>4.6879999999999997</v>
      </c>
      <c r="D32" s="3">
        <v>10.337999999999999</v>
      </c>
      <c r="E32" s="3">
        <v>11.988</v>
      </c>
      <c r="F32" s="3">
        <v>13.462999999999999</v>
      </c>
      <c r="G32" s="3">
        <v>15.103999999999999</v>
      </c>
      <c r="H32" s="3">
        <v>16.5</v>
      </c>
      <c r="I32" s="3">
        <v>18.510999999999999</v>
      </c>
      <c r="J32" s="3">
        <v>25.390999999999998</v>
      </c>
      <c r="K32" s="3">
        <v>38.222000000000001</v>
      </c>
      <c r="L32" s="3">
        <v>40.923999999999999</v>
      </c>
      <c r="M32" s="3">
        <v>44.529000000000003</v>
      </c>
      <c r="Q32" s="3">
        <v>5.9349999999999996</v>
      </c>
      <c r="R32" s="3">
        <v>8.7360000000000007</v>
      </c>
      <c r="S32" s="3">
        <v>22.326000000000001</v>
      </c>
      <c r="T32" s="3">
        <v>28.567</v>
      </c>
    </row>
    <row r="33" spans="1:20" x14ac:dyDescent="0.2">
      <c r="A33" t="s">
        <v>57</v>
      </c>
      <c r="B33" s="3">
        <v>42.677999999999997</v>
      </c>
      <c r="C33" s="3">
        <v>37.345999999999997</v>
      </c>
      <c r="D33" s="3">
        <v>40.451999999999998</v>
      </c>
      <c r="E33" s="3">
        <v>54.661000000000001</v>
      </c>
      <c r="F33" s="3">
        <v>51.594000000000001</v>
      </c>
      <c r="G33" s="3">
        <v>50.295000000000002</v>
      </c>
      <c r="H33" s="3">
        <v>53.295999999999999</v>
      </c>
      <c r="I33" s="3">
        <v>77.94</v>
      </c>
      <c r="J33" s="3">
        <v>93.777000000000001</v>
      </c>
      <c r="K33" s="3">
        <v>127.46</v>
      </c>
      <c r="L33" s="3">
        <v>126.07599999999999</v>
      </c>
      <c r="M33" s="3">
        <v>138.661</v>
      </c>
      <c r="Q33" s="3">
        <v>54.198999999999998</v>
      </c>
      <c r="R33" s="3">
        <v>80.024000000000001</v>
      </c>
      <c r="S33" s="3">
        <v>95.113</v>
      </c>
      <c r="T33" s="3">
        <v>101.889</v>
      </c>
    </row>
    <row r="34" spans="1:20" x14ac:dyDescent="0.2">
      <c r="A34" t="s">
        <v>58</v>
      </c>
      <c r="B34" s="3">
        <v>-9.2999999999999999E-2</v>
      </c>
      <c r="C34" s="3">
        <v>-4.7E-2</v>
      </c>
      <c r="D34" s="3">
        <v>1E-3</v>
      </c>
      <c r="E34" s="3">
        <v>-0.20300000000000001</v>
      </c>
      <c r="F34" s="3">
        <v>-0.11</v>
      </c>
      <c r="G34" s="3">
        <v>-7.2999999999999995E-2</v>
      </c>
      <c r="H34" s="3">
        <v>-5.2999999999999999E-2</v>
      </c>
      <c r="I34" s="3">
        <v>-0.19700000000000001</v>
      </c>
      <c r="J34" s="3">
        <v>-8.9999999999999993E-3</v>
      </c>
      <c r="K34" s="3">
        <v>-6.3E-2</v>
      </c>
      <c r="L34" s="3">
        <v>7.0659999999999998</v>
      </c>
      <c r="M34" s="3">
        <v>17.189</v>
      </c>
      <c r="Q34" s="3">
        <v>-7.0999999999999994E-2</v>
      </c>
      <c r="R34" s="3">
        <v>-0.14000000000000001</v>
      </c>
      <c r="S34" s="3">
        <v>-0.20200000000000001</v>
      </c>
      <c r="T34" s="3">
        <v>-0.183</v>
      </c>
    </row>
    <row r="35" spans="1:20" s="13" customFormat="1" x14ac:dyDescent="0.2">
      <c r="A35" s="5" t="s">
        <v>59</v>
      </c>
      <c r="B35" s="13">
        <f t="shared" ref="B35:M35" si="4">+B29-SUM(B30:B34)</f>
        <v>75.474999999999952</v>
      </c>
      <c r="C35" s="13">
        <f t="shared" si="4"/>
        <v>122.26799999999996</v>
      </c>
      <c r="D35" s="13">
        <f t="shared" si="4"/>
        <v>132.06099999999992</v>
      </c>
      <c r="E35" s="13">
        <f t="shared" si="4"/>
        <v>162.55500000000004</v>
      </c>
      <c r="F35" s="13">
        <f t="shared" si="4"/>
        <v>152.25900000000027</v>
      </c>
      <c r="G35" s="13">
        <f t="shared" si="4"/>
        <v>221.65400000000002</v>
      </c>
      <c r="H35" s="13">
        <f t="shared" si="4"/>
        <v>256.24900000000065</v>
      </c>
      <c r="I35" s="13">
        <f t="shared" si="4"/>
        <v>338.73200000000008</v>
      </c>
      <c r="J35" s="13">
        <f t="shared" si="4"/>
        <v>330.86500000000046</v>
      </c>
      <c r="K35" s="13">
        <f t="shared" si="4"/>
        <v>333.9360000000006</v>
      </c>
      <c r="L35" s="13">
        <f t="shared" si="4"/>
        <v>279.09300000000002</v>
      </c>
      <c r="M35" s="13">
        <f t="shared" si="4"/>
        <v>378.48899999999992</v>
      </c>
      <c r="Q35" s="13">
        <f>+Q29-SUM(Q30:Q34)</f>
        <v>93.465000000000131</v>
      </c>
      <c r="R35" s="13">
        <f>+R29-SUM(R30:R34)</f>
        <v>197.74300000000011</v>
      </c>
      <c r="S35" s="13">
        <f>+S29-SUM(S30:S34)</f>
        <v>294.61599999999976</v>
      </c>
      <c r="T35" s="13">
        <f>+T29-SUM(T30:T34)</f>
        <v>373.91300000000024</v>
      </c>
    </row>
    <row r="36" spans="1:20" x14ac:dyDescent="0.2">
      <c r="A36" t="s">
        <v>60</v>
      </c>
      <c r="B36" s="3">
        <v>0.21299999999999999</v>
      </c>
      <c r="C36" s="3">
        <v>0.20399999999999999</v>
      </c>
      <c r="D36" s="3">
        <v>4.2000000000000003E-2</v>
      </c>
      <c r="E36" s="3">
        <v>0.29199999999999998</v>
      </c>
      <c r="F36" s="3">
        <v>1.173</v>
      </c>
      <c r="G36" s="3">
        <v>0.161</v>
      </c>
      <c r="H36" s="3">
        <v>0.69499999999999995</v>
      </c>
      <c r="I36" s="3">
        <v>0.34399999999999997</v>
      </c>
      <c r="J36" s="3">
        <v>1.4930000000000001</v>
      </c>
      <c r="K36" s="3">
        <v>27.83</v>
      </c>
      <c r="L36" s="3">
        <v>93.408000000000001</v>
      </c>
      <c r="M36" s="3">
        <v>152.99299999999999</v>
      </c>
      <c r="Q36" s="3">
        <v>0.54100000000000004</v>
      </c>
      <c r="R36" s="3">
        <v>0.41699999999999998</v>
      </c>
      <c r="S36" s="3">
        <v>0.33400000000000002</v>
      </c>
      <c r="T36" s="3">
        <v>1.3340000000000001</v>
      </c>
    </row>
    <row r="37" spans="1:20" x14ac:dyDescent="0.2">
      <c r="A37" t="s">
        <v>61</v>
      </c>
      <c r="B37" s="3">
        <v>-0.95499999999999996</v>
      </c>
      <c r="C37" s="3">
        <v>-0.56100000000000005</v>
      </c>
      <c r="D37" s="3">
        <v>-2.3340000000000001</v>
      </c>
      <c r="E37" s="3">
        <v>-2.2989999999999999</v>
      </c>
      <c r="F37" s="3">
        <v>-3.7970000000000002</v>
      </c>
      <c r="G37" s="3">
        <v>-5.609</v>
      </c>
      <c r="H37" s="3">
        <v>-6.0519999999999996</v>
      </c>
      <c r="I37" s="3">
        <v>-6.7359999999999998</v>
      </c>
      <c r="J37" s="3">
        <v>-8.7720000000000002</v>
      </c>
      <c r="K37" s="3">
        <v>-3.1909999999999998</v>
      </c>
      <c r="L37" s="3">
        <v>-2.2909999999999999</v>
      </c>
      <c r="M37" s="3">
        <v>-2.492</v>
      </c>
      <c r="Q37" s="3">
        <v>-0.77500000000000002</v>
      </c>
      <c r="R37" s="3">
        <v>-1.516</v>
      </c>
      <c r="S37" s="3">
        <v>-4.633</v>
      </c>
      <c r="T37" s="3">
        <v>-9.4060000000000006</v>
      </c>
    </row>
    <row r="38" spans="1:20" x14ac:dyDescent="0.2">
      <c r="A38" t="s">
        <v>67</v>
      </c>
      <c r="B38" s="3">
        <v>-4.8680000000000003</v>
      </c>
      <c r="C38" s="3">
        <v>-2.5329999999999999</v>
      </c>
      <c r="D38" s="3">
        <v>1.704</v>
      </c>
      <c r="E38" s="3">
        <v>2.8559999999999999</v>
      </c>
      <c r="F38" s="3">
        <v>-25.602</v>
      </c>
      <c r="G38" s="3">
        <v>-17.059000000000001</v>
      </c>
      <c r="H38" s="3">
        <v>5.0460000000000003</v>
      </c>
      <c r="I38" s="3">
        <v>-7.431</v>
      </c>
      <c r="J38" s="3">
        <v>36.042999999999999</v>
      </c>
      <c r="K38" s="3">
        <v>1.861</v>
      </c>
      <c r="L38" s="3">
        <v>2.8079999999999998</v>
      </c>
      <c r="M38" s="3">
        <v>40.600999999999999</v>
      </c>
      <c r="Q38" s="3">
        <v>-1.0069999999999999</v>
      </c>
      <c r="R38" s="3">
        <v>-7.4009999999999998</v>
      </c>
      <c r="S38" s="3">
        <v>4.5599999999999996</v>
      </c>
      <c r="T38" s="3">
        <v>-42.661000000000001</v>
      </c>
    </row>
    <row r="39" spans="1:20" x14ac:dyDescent="0.2">
      <c r="A39" t="s">
        <v>62</v>
      </c>
      <c r="B39" s="3">
        <f t="shared" ref="B39:M39" si="5">+B35+SUM(B36:B38)</f>
        <v>69.864999999999952</v>
      </c>
      <c r="C39" s="3">
        <f t="shared" si="5"/>
        <v>119.37799999999996</v>
      </c>
      <c r="D39" s="3">
        <f t="shared" si="5"/>
        <v>131.47299999999993</v>
      </c>
      <c r="E39" s="3">
        <f t="shared" si="5"/>
        <v>163.40400000000002</v>
      </c>
      <c r="F39" s="3">
        <f t="shared" si="5"/>
        <v>124.03300000000027</v>
      </c>
      <c r="G39" s="3">
        <f t="shared" si="5"/>
        <v>199.14700000000002</v>
      </c>
      <c r="H39" s="3">
        <f t="shared" si="5"/>
        <v>255.93800000000064</v>
      </c>
      <c r="I39" s="3">
        <f t="shared" si="5"/>
        <v>324.90900000000011</v>
      </c>
      <c r="J39" s="3">
        <f t="shared" si="5"/>
        <v>359.62900000000047</v>
      </c>
      <c r="K39" s="3">
        <f t="shared" si="5"/>
        <v>360.4360000000006</v>
      </c>
      <c r="L39" s="3">
        <f t="shared" si="5"/>
        <v>373.01800000000003</v>
      </c>
      <c r="M39" s="3">
        <f t="shared" si="5"/>
        <v>569.59099999999989</v>
      </c>
      <c r="Q39" s="3">
        <f>+Q35+SUM(Q36:Q38)</f>
        <v>92.224000000000132</v>
      </c>
      <c r="R39" s="3">
        <f>+R35+SUM(R36:R38)</f>
        <v>189.24300000000011</v>
      </c>
      <c r="S39" s="3">
        <f>+S35+SUM(S36:S38)</f>
        <v>294.87699999999978</v>
      </c>
      <c r="T39" s="3">
        <f>+T35+SUM(T36:T38)</f>
        <v>323.18000000000023</v>
      </c>
    </row>
    <row r="40" spans="1:20" x14ac:dyDescent="0.2">
      <c r="A40" t="s">
        <v>63</v>
      </c>
      <c r="B40" s="3">
        <v>14.23</v>
      </c>
      <c r="C40" s="3">
        <v>24.099</v>
      </c>
      <c r="D40" s="3">
        <v>25.635999999999999</v>
      </c>
      <c r="E40" s="3">
        <v>34.957000000000001</v>
      </c>
      <c r="F40" s="3">
        <v>26.134</v>
      </c>
      <c r="G40" s="3">
        <v>36.027000000000001</v>
      </c>
      <c r="H40" s="3">
        <v>51.104999999999997</v>
      </c>
      <c r="I40" s="3">
        <v>60.024999999999999</v>
      </c>
      <c r="J40" s="3">
        <v>77.492000000000004</v>
      </c>
      <c r="K40" s="3">
        <v>78.308000000000007</v>
      </c>
      <c r="L40" s="3">
        <v>90.844999999999999</v>
      </c>
      <c r="M40" s="3">
        <v>153.44200000000001</v>
      </c>
      <c r="Q40" s="3">
        <v>20.917000000000002</v>
      </c>
      <c r="R40" s="3">
        <v>38.329000000000001</v>
      </c>
      <c r="S40" s="3">
        <v>60.593000000000004</v>
      </c>
      <c r="T40" s="3">
        <v>62.161000000000001</v>
      </c>
    </row>
    <row r="41" spans="1:20" s="13" customFormat="1" x14ac:dyDescent="0.2">
      <c r="A41" s="5" t="s">
        <v>64</v>
      </c>
      <c r="B41" s="13">
        <f t="shared" ref="B41:M41" si="6">+B39-B40</f>
        <v>55.634999999999948</v>
      </c>
      <c r="C41" s="13">
        <f t="shared" si="6"/>
        <v>95.278999999999954</v>
      </c>
      <c r="D41" s="13">
        <f t="shared" si="6"/>
        <v>105.83699999999993</v>
      </c>
      <c r="E41" s="13">
        <f t="shared" si="6"/>
        <v>128.44700000000003</v>
      </c>
      <c r="F41" s="13">
        <f t="shared" si="6"/>
        <v>97.899000000000271</v>
      </c>
      <c r="G41" s="13">
        <f t="shared" si="6"/>
        <v>163.12</v>
      </c>
      <c r="H41" s="13">
        <f t="shared" si="6"/>
        <v>204.83300000000065</v>
      </c>
      <c r="I41" s="13">
        <f t="shared" si="6"/>
        <v>264.88400000000013</v>
      </c>
      <c r="J41" s="13">
        <f t="shared" si="6"/>
        <v>282.13700000000046</v>
      </c>
      <c r="K41" s="13">
        <f t="shared" si="6"/>
        <v>282.12800000000061</v>
      </c>
      <c r="L41" s="13">
        <f t="shared" si="6"/>
        <v>282.173</v>
      </c>
      <c r="M41" s="13">
        <f t="shared" si="6"/>
        <v>416.14899999999989</v>
      </c>
      <c r="Q41" s="13">
        <f>+Q39-Q40</f>
        <v>71.30700000000013</v>
      </c>
      <c r="R41" s="13">
        <f>+R39-R40</f>
        <v>150.9140000000001</v>
      </c>
      <c r="S41" s="13">
        <f>+S39-S40</f>
        <v>234.28399999999976</v>
      </c>
      <c r="T41" s="13">
        <f>+T39-T40</f>
        <v>261.01900000000023</v>
      </c>
    </row>
    <row r="42" spans="1:20" x14ac:dyDescent="0.2">
      <c r="A42" t="s">
        <v>65</v>
      </c>
    </row>
    <row r="43" spans="1:20" x14ac:dyDescent="0.2">
      <c r="A43" t="s">
        <v>4</v>
      </c>
    </row>
    <row r="45" spans="1:20" s="14" customFormat="1" x14ac:dyDescent="0.2">
      <c r="A45" s="14" t="s">
        <v>50</v>
      </c>
      <c r="B45" s="14">
        <f t="shared" ref="B45:M45" si="7">+B29/B26</f>
        <v>0.23771125593725828</v>
      </c>
      <c r="C45" s="14">
        <f t="shared" si="7"/>
        <v>0.21733358301939493</v>
      </c>
      <c r="D45" s="14">
        <f t="shared" si="7"/>
        <v>0.20772254832382991</v>
      </c>
      <c r="E45" s="14">
        <f t="shared" si="7"/>
        <v>0.19610569225012531</v>
      </c>
      <c r="F45" s="14">
        <f t="shared" si="7"/>
        <v>0.19537983454631014</v>
      </c>
      <c r="G45" s="14">
        <f t="shared" si="7"/>
        <v>0.18228523793851484</v>
      </c>
      <c r="H45" s="14">
        <f t="shared" si="7"/>
        <v>0.17422895579922121</v>
      </c>
      <c r="I45" s="14">
        <f t="shared" si="7"/>
        <v>0.16171624450625774</v>
      </c>
      <c r="J45" s="14">
        <f t="shared" si="7"/>
        <v>0.15415628346279575</v>
      </c>
      <c r="K45" s="14">
        <f t="shared" si="7"/>
        <v>0.14467084859456361</v>
      </c>
      <c r="L45" s="14">
        <f t="shared" si="7"/>
        <v>0.86592115283228865</v>
      </c>
      <c r="M45" s="14">
        <f t="shared" si="7"/>
        <v>0.87829749984156158</v>
      </c>
      <c r="Q45" s="14">
        <f>+Q29/Q26</f>
        <v>0.21559598593496912</v>
      </c>
      <c r="R45" s="14">
        <f>+R29/R26</f>
        <v>0.22592725239995456</v>
      </c>
      <c r="S45" s="14">
        <f>+S29/S26</f>
        <v>0.20110856248969605</v>
      </c>
      <c r="T45" s="14">
        <f>+T29/T26</f>
        <v>0.18789533334669828</v>
      </c>
    </row>
    <row r="46" spans="1:20" s="14" customFormat="1" x14ac:dyDescent="0.2">
      <c r="A46" s="14" t="s">
        <v>51</v>
      </c>
      <c r="B46" s="14">
        <f t="shared" ref="B46:M46" si="8">+B35/B26</f>
        <v>0.10827292667566603</v>
      </c>
      <c r="C46" s="14">
        <f t="shared" si="8"/>
        <v>0.12791319294420664</v>
      </c>
      <c r="D46" s="14">
        <f t="shared" si="8"/>
        <v>0.11542219767234532</v>
      </c>
      <c r="E46" s="14">
        <f t="shared" si="8"/>
        <v>0.10746599604130061</v>
      </c>
      <c r="F46" s="14">
        <f t="shared" si="8"/>
        <v>9.759729346172058E-2</v>
      </c>
      <c r="G46" s="14">
        <f t="shared" si="8"/>
        <v>0.10649709438504024</v>
      </c>
      <c r="H46" s="14">
        <f t="shared" si="8"/>
        <v>0.10032334585243098</v>
      </c>
      <c r="I46" s="14">
        <f t="shared" si="8"/>
        <v>9.8434610372929374E-2</v>
      </c>
      <c r="J46" s="14">
        <f t="shared" si="8"/>
        <v>8.3816742879826517E-2</v>
      </c>
      <c r="K46" s="14">
        <f t="shared" si="8"/>
        <v>6.6946130112888122E-2</v>
      </c>
      <c r="L46" s="14">
        <f t="shared" si="8"/>
        <v>0.32697908734110481</v>
      </c>
      <c r="M46" s="14">
        <f t="shared" si="8"/>
        <v>0.37479502028011907</v>
      </c>
      <c r="Q46" s="14">
        <f>+Q35/Q26</f>
        <v>9.2316581723361504E-2</v>
      </c>
      <c r="R46" s="14">
        <f>+R35/R26</f>
        <v>0.1196305025929431</v>
      </c>
      <c r="S46" s="14">
        <f>+S35/S26</f>
        <v>0.11089238301790057</v>
      </c>
      <c r="T46" s="14">
        <f>+T35/T26</f>
        <v>0.10268416804686349</v>
      </c>
    </row>
    <row r="47" spans="1:20" s="14" customFormat="1" x14ac:dyDescent="0.2">
      <c r="A47" s="14" t="s">
        <v>52</v>
      </c>
      <c r="B47" s="14">
        <f t="shared" ref="B47:M47" si="9">+B41/B26</f>
        <v>7.9811384903619442E-2</v>
      </c>
      <c r="C47" s="14">
        <f t="shared" si="9"/>
        <v>9.9678093291221431E-2</v>
      </c>
      <c r="D47" s="14">
        <f t="shared" si="9"/>
        <v>9.2502246197196825E-2</v>
      </c>
      <c r="E47" s="14">
        <f t="shared" si="9"/>
        <v>8.4917011433157635E-2</v>
      </c>
      <c r="F47" s="14">
        <f t="shared" si="9"/>
        <v>6.2752792495740756E-2</v>
      </c>
      <c r="G47" s="14">
        <f t="shared" si="9"/>
        <v>7.8373528274192042E-2</v>
      </c>
      <c r="H47" s="14">
        <f t="shared" si="9"/>
        <v>8.0193608174045583E-2</v>
      </c>
      <c r="I47" s="14">
        <f t="shared" si="9"/>
        <v>7.6974579709100502E-2</v>
      </c>
      <c r="J47" s="14">
        <f t="shared" si="9"/>
        <v>7.1472668266167827E-2</v>
      </c>
      <c r="K47" s="14">
        <f t="shared" si="9"/>
        <v>5.6559873138831707E-2</v>
      </c>
      <c r="L47" s="14">
        <f t="shared" si="9"/>
        <v>0.33058754613086522</v>
      </c>
      <c r="M47" s="14">
        <f t="shared" si="9"/>
        <v>0.41208746593573725</v>
      </c>
      <c r="Q47" s="14">
        <f>+Q41/Q26</f>
        <v>7.0430840346094703E-2</v>
      </c>
      <c r="R47" s="14">
        <f>+R41/R26</f>
        <v>9.1299907801092414E-2</v>
      </c>
      <c r="S47" s="14">
        <f>+S41/S26</f>
        <v>8.8183639255728849E-2</v>
      </c>
      <c r="T47" s="14">
        <f>+T41/T26</f>
        <v>7.1681163424176936E-2</v>
      </c>
    </row>
    <row r="48" spans="1:20" s="14" customFormat="1" x14ac:dyDescent="0.2">
      <c r="A48" s="14" t="s">
        <v>53</v>
      </c>
      <c r="B48" s="14">
        <f t="shared" ref="B48:M48" si="10">+B40/B39</f>
        <v>0.20367852286552651</v>
      </c>
      <c r="C48" s="14">
        <f t="shared" si="10"/>
        <v>0.20187136658345767</v>
      </c>
      <c r="D48" s="14">
        <f t="shared" si="10"/>
        <v>0.19499060643630262</v>
      </c>
      <c r="E48" s="14">
        <f t="shared" si="10"/>
        <v>0.21392989155712219</v>
      </c>
      <c r="F48" s="14">
        <f t="shared" si="10"/>
        <v>0.21070199059927555</v>
      </c>
      <c r="G48" s="14">
        <f t="shared" si="10"/>
        <v>0.18090656650614872</v>
      </c>
      <c r="H48" s="14">
        <f t="shared" si="10"/>
        <v>0.19967726558775903</v>
      </c>
      <c r="I48" s="14">
        <f t="shared" si="10"/>
        <v>0.18474403602239389</v>
      </c>
      <c r="J48" s="14">
        <f t="shared" si="10"/>
        <v>0.21547761721107003</v>
      </c>
      <c r="K48" s="14">
        <f t="shared" si="10"/>
        <v>0.21725909731547313</v>
      </c>
      <c r="L48" s="14">
        <f t="shared" si="10"/>
        <v>0.24354052619444636</v>
      </c>
      <c r="M48" s="14">
        <f t="shared" si="10"/>
        <v>0.26938979021789328</v>
      </c>
      <c r="Q48" s="14">
        <f>+Q40/Q39</f>
        <v>0.22680647120055486</v>
      </c>
      <c r="R48" s="14">
        <f>+R40/R39</f>
        <v>0.20253853511094191</v>
      </c>
      <c r="S48" s="14">
        <f>+S40/S39</f>
        <v>0.20548567707891782</v>
      </c>
      <c r="T48" s="14">
        <f>+T40/T39</f>
        <v>0.19234172906739264</v>
      </c>
    </row>
    <row r="49" spans="1:24" s="14" customFormat="1" x14ac:dyDescent="0.2"/>
    <row r="50" spans="1:24" s="15" customFormat="1" x14ac:dyDescent="0.2">
      <c r="A50" s="15" t="s">
        <v>86</v>
      </c>
      <c r="D50" s="15">
        <f t="shared" ref="D50:L50" si="11">+D26/B26-1</f>
        <v>0.64135301349484486</v>
      </c>
      <c r="E50" s="15">
        <f t="shared" si="11"/>
        <v>0.5824565551483627</v>
      </c>
      <c r="F50" s="15">
        <f t="shared" si="11"/>
        <v>0.36351511507172107</v>
      </c>
      <c r="G50" s="15">
        <f t="shared" si="11"/>
        <v>0.37596868475715617</v>
      </c>
      <c r="H50" s="15">
        <f t="shared" si="11"/>
        <v>0.63724989968424572</v>
      </c>
      <c r="I50" s="15">
        <f t="shared" si="11"/>
        <v>0.65337202681958284</v>
      </c>
      <c r="J50" s="15">
        <f t="shared" si="11"/>
        <v>0.54546750078595085</v>
      </c>
      <c r="K50" s="15">
        <f t="shared" si="11"/>
        <v>0.4495371947129887</v>
      </c>
      <c r="L50" s="15">
        <f t="shared" si="11"/>
        <v>-0.78377350011311009</v>
      </c>
      <c r="M50" s="15">
        <f>+M26/K26-1</f>
        <v>-0.79754817937784295</v>
      </c>
      <c r="R50" s="15">
        <f t="shared" ref="R50:W50" si="12">+R26/Q26-1</f>
        <v>0.6326379834854412</v>
      </c>
      <c r="S50" s="15">
        <f t="shared" si="12"/>
        <v>0.60729436134712023</v>
      </c>
      <c r="T50" s="15">
        <f t="shared" si="12"/>
        <v>0.37060547867451299</v>
      </c>
      <c r="U50" s="15">
        <f t="shared" si="12"/>
        <v>-1</v>
      </c>
      <c r="V50" s="15" t="e">
        <f t="shared" si="12"/>
        <v>#DIV/0!</v>
      </c>
      <c r="W50" s="15" t="e">
        <f t="shared" si="12"/>
        <v>#DIV/0!</v>
      </c>
      <c r="X50" s="15">
        <f>+X26/W26-1</f>
        <v>0.1949092146317013</v>
      </c>
    </row>
    <row r="54" spans="1:24" x14ac:dyDescent="0.2">
      <c r="S54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C6E0-A94A-4680-BE03-E8BEE0064EC3}">
  <dimension ref="A1:K20"/>
  <sheetViews>
    <sheetView workbookViewId="0">
      <selection activeCell="C39" sqref="A1:XFD1048576"/>
    </sheetView>
  </sheetViews>
  <sheetFormatPr defaultRowHeight="12.75" x14ac:dyDescent="0.2"/>
  <cols>
    <col min="1" max="1" width="20.7109375" style="3" bestFit="1" customWidth="1"/>
    <col min="2" max="2" width="10.28515625" style="3" customWidth="1"/>
    <col min="3" max="3" width="9.42578125" style="3" customWidth="1"/>
    <col min="4" max="4" width="9.28515625" style="3" customWidth="1"/>
    <col min="5" max="5" width="8.7109375" style="3" customWidth="1"/>
    <col min="6" max="6" width="9.42578125" style="3" customWidth="1"/>
    <col min="7" max="16384" width="9.140625" style="3"/>
  </cols>
  <sheetData>
    <row r="1" spans="1:11" ht="34.5" x14ac:dyDescent="0.45">
      <c r="A1" s="16" t="s">
        <v>0</v>
      </c>
      <c r="B1" s="16"/>
      <c r="C1" s="16"/>
      <c r="D1" s="16"/>
      <c r="E1" s="16"/>
      <c r="F1" s="16"/>
    </row>
    <row r="2" spans="1:11" x14ac:dyDescent="0.2">
      <c r="A2" s="7" t="s">
        <v>1</v>
      </c>
    </row>
    <row r="3" spans="1:11" s="17" customFormat="1" x14ac:dyDescent="0.2">
      <c r="A3" s="7" t="s">
        <v>22</v>
      </c>
      <c r="B3" s="3"/>
      <c r="C3" s="17" t="s">
        <v>49</v>
      </c>
      <c r="D3" s="17" t="s">
        <v>45</v>
      </c>
      <c r="E3" s="17" t="s">
        <v>46</v>
      </c>
      <c r="F3" s="17" t="s">
        <v>47</v>
      </c>
      <c r="G3" s="17" t="s">
        <v>15</v>
      </c>
      <c r="H3" s="17" t="s">
        <v>16</v>
      </c>
      <c r="I3" s="17" t="s">
        <v>17</v>
      </c>
      <c r="J3" s="17" t="s">
        <v>18</v>
      </c>
      <c r="K3" s="17" t="s">
        <v>14</v>
      </c>
    </row>
    <row r="5" spans="1:11" x14ac:dyDescent="0.2">
      <c r="A5" s="7" t="s">
        <v>21</v>
      </c>
    </row>
    <row r="6" spans="1:11" x14ac:dyDescent="0.2">
      <c r="A6" s="3" t="s">
        <v>12</v>
      </c>
      <c r="E6" s="11">
        <v>200.3</v>
      </c>
      <c r="F6" s="3">
        <f>421.7-E6</f>
        <v>221.39999999999998</v>
      </c>
      <c r="G6" s="11">
        <v>204.1</v>
      </c>
      <c r="H6" s="11">
        <f>426-G6</f>
        <v>221.9</v>
      </c>
      <c r="I6" s="11">
        <v>243.1</v>
      </c>
      <c r="J6" s="11">
        <f>544.1-I6</f>
        <v>301</v>
      </c>
      <c r="K6" s="11">
        <v>297.8</v>
      </c>
    </row>
    <row r="7" spans="1:11" x14ac:dyDescent="0.2">
      <c r="A7" s="8" t="s">
        <v>13</v>
      </c>
      <c r="E7" s="11">
        <v>30.3</v>
      </c>
      <c r="F7" s="3">
        <f>67.6-E7</f>
        <v>37.299999999999997</v>
      </c>
      <c r="G7" s="11">
        <v>29.4</v>
      </c>
      <c r="H7" s="11">
        <f>67-G7</f>
        <v>37.6</v>
      </c>
      <c r="I7" s="11">
        <v>41.9</v>
      </c>
      <c r="J7" s="11">
        <f>92.9-I7</f>
        <v>51.000000000000007</v>
      </c>
      <c r="K7" s="11">
        <v>42.8</v>
      </c>
    </row>
    <row r="8" spans="1:11" x14ac:dyDescent="0.2">
      <c r="E8" s="11"/>
      <c r="G8" s="11"/>
      <c r="H8" s="11"/>
      <c r="I8" s="11"/>
      <c r="J8" s="11"/>
      <c r="K8" s="11"/>
    </row>
    <row r="9" spans="1:11" x14ac:dyDescent="0.2">
      <c r="A9" s="3" t="s">
        <v>9</v>
      </c>
      <c r="E9" s="11">
        <v>123.9</v>
      </c>
      <c r="F9" s="3">
        <f>253.8-E9</f>
        <v>129.9</v>
      </c>
      <c r="G9" s="11">
        <v>130.30000000000001</v>
      </c>
      <c r="H9" s="11">
        <f>267.1-G9</f>
        <v>136.80000000000001</v>
      </c>
      <c r="I9" s="11">
        <v>150.30000000000001</v>
      </c>
      <c r="J9" s="11">
        <f>338.4-I9</f>
        <v>188.09999999999997</v>
      </c>
      <c r="K9" s="11">
        <v>196.3</v>
      </c>
    </row>
    <row r="10" spans="1:11" x14ac:dyDescent="0.2">
      <c r="A10" s="8" t="s">
        <v>13</v>
      </c>
      <c r="E10" s="11">
        <v>0</v>
      </c>
      <c r="F10" s="3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x14ac:dyDescent="0.2">
      <c r="A11" s="3" t="s">
        <v>10</v>
      </c>
      <c r="E11" s="11">
        <v>50.8</v>
      </c>
      <c r="F11" s="3">
        <f>116.1-E11</f>
        <v>65.3</v>
      </c>
      <c r="G11" s="11">
        <v>49.9</v>
      </c>
      <c r="H11" s="11">
        <f>109.2-G11</f>
        <v>59.300000000000004</v>
      </c>
      <c r="I11" s="11">
        <v>63.3</v>
      </c>
      <c r="J11" s="11">
        <f>144.2-I11</f>
        <v>80.899999999999991</v>
      </c>
      <c r="K11" s="11">
        <v>64.599999999999994</v>
      </c>
    </row>
    <row r="12" spans="1:11" x14ac:dyDescent="0.2">
      <c r="A12" s="8" t="s">
        <v>13</v>
      </c>
      <c r="E12" s="11">
        <v>28.5</v>
      </c>
      <c r="F12" s="3">
        <f>63.7-E12</f>
        <v>35.200000000000003</v>
      </c>
      <c r="G12" s="11">
        <v>26.9</v>
      </c>
      <c r="H12" s="11">
        <f>60.7-G12</f>
        <v>33.800000000000004</v>
      </c>
      <c r="I12" s="11">
        <v>37</v>
      </c>
      <c r="J12" s="11">
        <f>82.1-I12</f>
        <v>45.099999999999994</v>
      </c>
      <c r="K12" s="11">
        <v>36.299999999999997</v>
      </c>
    </row>
    <row r="13" spans="1:11" x14ac:dyDescent="0.2">
      <c r="A13" s="3" t="s">
        <v>11</v>
      </c>
      <c r="E13" s="11">
        <v>25.6</v>
      </c>
      <c r="F13" s="3">
        <f>51.8-E13</f>
        <v>26.199999999999996</v>
      </c>
      <c r="G13" s="11">
        <v>23.9</v>
      </c>
      <c r="H13" s="11">
        <f>49.7-G13</f>
        <v>25.800000000000004</v>
      </c>
      <c r="I13" s="11">
        <v>29.5</v>
      </c>
      <c r="J13" s="11">
        <f>61.5-I13</f>
        <v>32</v>
      </c>
      <c r="K13" s="11">
        <v>36.9</v>
      </c>
    </row>
    <row r="14" spans="1:11" x14ac:dyDescent="0.2">
      <c r="A14" s="8" t="s">
        <v>13</v>
      </c>
      <c r="E14" s="11">
        <v>1.8</v>
      </c>
      <c r="F14" s="3">
        <f>3.9-E14</f>
        <v>2.0999999999999996</v>
      </c>
      <c r="G14" s="11">
        <v>2.5</v>
      </c>
      <c r="H14" s="11">
        <f>6.3-G14</f>
        <v>3.8</v>
      </c>
      <c r="I14" s="11">
        <v>4.9000000000000004</v>
      </c>
      <c r="J14" s="11">
        <f>10.8-I14</f>
        <v>5.9</v>
      </c>
      <c r="K14" s="11">
        <v>6.5</v>
      </c>
    </row>
    <row r="15" spans="1:11" x14ac:dyDescent="0.2">
      <c r="A15" s="3" t="s">
        <v>20</v>
      </c>
      <c r="E15" s="11">
        <f t="shared" ref="E15:K15" si="0">+E13+E11+E9</f>
        <v>200.3</v>
      </c>
      <c r="F15" s="11">
        <f t="shared" si="0"/>
        <v>221.4</v>
      </c>
      <c r="G15" s="11">
        <f t="shared" si="0"/>
        <v>204.10000000000002</v>
      </c>
      <c r="H15" s="11">
        <f t="shared" si="0"/>
        <v>221.90000000000003</v>
      </c>
      <c r="I15" s="11">
        <f t="shared" si="0"/>
        <v>243.10000000000002</v>
      </c>
      <c r="J15" s="11">
        <f t="shared" si="0"/>
        <v>300.99999999999994</v>
      </c>
      <c r="K15" s="11">
        <f t="shared" si="0"/>
        <v>297.8</v>
      </c>
    </row>
    <row r="16" spans="1:11" x14ac:dyDescent="0.2">
      <c r="G16" s="11"/>
      <c r="H16" s="11"/>
      <c r="I16" s="11"/>
      <c r="J16" s="11"/>
      <c r="K16" s="11"/>
    </row>
    <row r="17" spans="1:11" x14ac:dyDescent="0.2">
      <c r="G17" s="11"/>
      <c r="H17" s="11"/>
      <c r="I17" s="11"/>
      <c r="J17" s="11"/>
      <c r="K17" s="11"/>
    </row>
    <row r="18" spans="1:11" x14ac:dyDescent="0.2">
      <c r="A18" s="3" t="s">
        <v>19</v>
      </c>
      <c r="G18" s="11">
        <v>3.6669999999999998</v>
      </c>
      <c r="H18" s="11"/>
      <c r="I18" s="11"/>
      <c r="J18" s="11"/>
      <c r="K18" s="11">
        <v>4.2220000000000004</v>
      </c>
    </row>
    <row r="20" spans="1:11" s="11" customFormat="1" x14ac:dyDescent="0.2">
      <c r="A20" s="11" t="s">
        <v>68</v>
      </c>
      <c r="D20" s="11">
        <v>9</v>
      </c>
      <c r="F20" s="11">
        <v>10</v>
      </c>
      <c r="H20" s="11">
        <v>10.3</v>
      </c>
      <c r="J20" s="11">
        <v>12.7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A462-0AA3-4703-A45B-66ED40CE0F20}">
  <dimension ref="A3:AC7"/>
  <sheetViews>
    <sheetView workbookViewId="0">
      <pane xSplit="1" ySplit="3" topLeftCell="O4" activePane="bottomRight" state="frozen"/>
      <selection pane="topRight" activeCell="B1" sqref="B1"/>
      <selection pane="bottomLeft" activeCell="A4" sqref="A4"/>
      <selection pane="bottomRight" activeCell="R19" sqref="R19"/>
    </sheetView>
  </sheetViews>
  <sheetFormatPr defaultRowHeight="12.75" x14ac:dyDescent="0.2"/>
  <cols>
    <col min="1" max="1" width="13.140625" style="3" bestFit="1" customWidth="1"/>
    <col min="2" max="16384" width="9.140625" style="3"/>
  </cols>
  <sheetData>
    <row r="3" spans="1:29" s="17" customFormat="1" x14ac:dyDescent="0.2">
      <c r="B3" s="17" t="s">
        <v>38</v>
      </c>
      <c r="C3" s="17" t="s">
        <v>74</v>
      </c>
      <c r="D3" s="17" t="s">
        <v>39</v>
      </c>
      <c r="E3" s="17" t="s">
        <v>75</v>
      </c>
      <c r="F3" s="17" t="s">
        <v>40</v>
      </c>
      <c r="G3" s="17" t="s">
        <v>76</v>
      </c>
      <c r="H3" s="17" t="s">
        <v>41</v>
      </c>
      <c r="I3" s="17" t="s">
        <v>77</v>
      </c>
      <c r="J3" s="17" t="s">
        <v>42</v>
      </c>
      <c r="K3" s="17" t="s">
        <v>78</v>
      </c>
      <c r="L3" s="17" t="s">
        <v>43</v>
      </c>
      <c r="M3" s="17" t="s">
        <v>79</v>
      </c>
      <c r="N3" s="17" t="s">
        <v>44</v>
      </c>
      <c r="O3" s="17" t="s">
        <v>87</v>
      </c>
      <c r="P3" s="17" t="s">
        <v>48</v>
      </c>
      <c r="Q3" s="17" t="s">
        <v>80</v>
      </c>
      <c r="R3" s="17" t="s">
        <v>49</v>
      </c>
      <c r="S3" s="17" t="s">
        <v>45</v>
      </c>
      <c r="T3" s="17" t="s">
        <v>46</v>
      </c>
      <c r="U3" s="17" t="s">
        <v>47</v>
      </c>
      <c r="V3" s="17" t="s">
        <v>15</v>
      </c>
      <c r="W3" s="17" t="s">
        <v>16</v>
      </c>
      <c r="X3" s="17" t="s">
        <v>17</v>
      </c>
      <c r="Y3" s="17" t="s">
        <v>18</v>
      </c>
      <c r="Z3" s="17" t="s">
        <v>14</v>
      </c>
      <c r="AA3" s="17" t="s">
        <v>81</v>
      </c>
      <c r="AB3" s="17" t="s">
        <v>82</v>
      </c>
      <c r="AC3" s="17" t="s">
        <v>83</v>
      </c>
    </row>
    <row r="4" spans="1:29" x14ac:dyDescent="0.2">
      <c r="A4" s="3" t="s">
        <v>35</v>
      </c>
      <c r="B4" s="3">
        <v>74.400000000000006</v>
      </c>
      <c r="C4" s="3">
        <v>82.031000000000006</v>
      </c>
      <c r="D4" s="3">
        <v>87.853999999999999</v>
      </c>
      <c r="E4" s="3">
        <v>104.628</v>
      </c>
      <c r="F4" s="3">
        <v>101.5</v>
      </c>
      <c r="G4" s="3">
        <v>119.596</v>
      </c>
      <c r="H4" s="3">
        <v>135.6</v>
      </c>
      <c r="I4" s="3">
        <v>150.06200000000001</v>
      </c>
      <c r="J4" s="3">
        <v>135.5</v>
      </c>
      <c r="K4" s="3">
        <v>144.44200000000001</v>
      </c>
      <c r="L4" s="3">
        <v>169.4</v>
      </c>
      <c r="T4" s="3">
        <v>339.15199999999999</v>
      </c>
      <c r="V4" s="3">
        <v>361.58600000000001</v>
      </c>
      <c r="W4" s="3">
        <f>853.55-V4</f>
        <v>491.96399999999994</v>
      </c>
      <c r="X4" s="3">
        <v>413.62200000000001</v>
      </c>
      <c r="Y4" s="3">
        <v>473.4</v>
      </c>
      <c r="Z4" s="3">
        <v>438.00299999999999</v>
      </c>
    </row>
    <row r="6" spans="1:29" x14ac:dyDescent="0.2">
      <c r="A6" s="3" t="s">
        <v>89</v>
      </c>
    </row>
    <row r="7" spans="1:29" x14ac:dyDescent="0.2">
      <c r="A7" s="3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Segments</vt:lpstr>
      <vt:lpstr>Revenue qq, 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2024-04-25T14:09:02Z</dcterms:created>
  <dcterms:modified xsi:type="dcterms:W3CDTF">2025-03-27T21:02:17Z</dcterms:modified>
</cp:coreProperties>
</file>