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5977943E-4551-41A1-A806-B26E558612FD}" xr6:coauthVersionLast="47" xr6:coauthVersionMax="47" xr10:uidLastSave="{00000000-0000-0000-0000-000000000000}"/>
  <bookViews>
    <workbookView xWindow="-120" yWindow="-120" windowWidth="29040" windowHeight="15840" activeTab="1" xr2:uid="{2F2D0C2F-7944-4F33-B0B9-1934C6D181DE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N59" i="1"/>
  <c r="M59" i="1"/>
  <c r="L59" i="1"/>
  <c r="K59" i="1"/>
  <c r="J59" i="1"/>
  <c r="I59" i="1"/>
  <c r="H59" i="1"/>
  <c r="G59" i="1"/>
  <c r="F59" i="1"/>
  <c r="E59" i="1"/>
  <c r="O59" i="1"/>
  <c r="N58" i="1"/>
  <c r="M58" i="1"/>
  <c r="L58" i="1"/>
  <c r="K58" i="1"/>
  <c r="J58" i="1"/>
  <c r="I58" i="1"/>
  <c r="H58" i="1"/>
  <c r="G58" i="1"/>
  <c r="F58" i="1"/>
  <c r="E58" i="1"/>
  <c r="O58" i="1"/>
  <c r="AB28" i="1" l="1"/>
  <c r="M10" i="2"/>
  <c r="C82" i="1"/>
  <c r="C84" i="1" s="1"/>
  <c r="C76" i="1"/>
  <c r="C75" i="1"/>
  <c r="C74" i="1"/>
  <c r="C70" i="1"/>
  <c r="C69" i="1"/>
  <c r="C68" i="1"/>
  <c r="C66" i="1"/>
  <c r="C65" i="1"/>
  <c r="C64" i="1"/>
  <c r="C63" i="1"/>
  <c r="C62" i="1"/>
  <c r="B21" i="1"/>
  <c r="C21" i="1"/>
  <c r="D21" i="1"/>
  <c r="C18" i="1"/>
  <c r="C16" i="1"/>
  <c r="C12" i="1"/>
  <c r="C10" i="1"/>
  <c r="C9" i="1"/>
  <c r="C8" i="1"/>
  <c r="C13" i="1" s="1"/>
  <c r="C6" i="1"/>
  <c r="C5" i="1"/>
  <c r="E83" i="1"/>
  <c r="E82" i="1"/>
  <c r="E81" i="1"/>
  <c r="E76" i="1"/>
  <c r="E75" i="1"/>
  <c r="E74" i="1"/>
  <c r="E70" i="1"/>
  <c r="E69" i="1"/>
  <c r="E68" i="1"/>
  <c r="E66" i="1"/>
  <c r="E65" i="1"/>
  <c r="E64" i="1"/>
  <c r="E63" i="1"/>
  <c r="E62" i="1"/>
  <c r="G83" i="1"/>
  <c r="G82" i="1"/>
  <c r="G81" i="1"/>
  <c r="G80" i="1"/>
  <c r="G79" i="1"/>
  <c r="G76" i="1"/>
  <c r="G75" i="1"/>
  <c r="G74" i="1"/>
  <c r="G77" i="1" s="1"/>
  <c r="G70" i="1"/>
  <c r="G69" i="1"/>
  <c r="G68" i="1"/>
  <c r="G66" i="1"/>
  <c r="G65" i="1"/>
  <c r="G64" i="1"/>
  <c r="G63" i="1"/>
  <c r="G62" i="1"/>
  <c r="I83" i="1"/>
  <c r="I82" i="1"/>
  <c r="I81" i="1"/>
  <c r="I80" i="1"/>
  <c r="I79" i="1"/>
  <c r="I76" i="1"/>
  <c r="I75" i="1"/>
  <c r="I74" i="1"/>
  <c r="I70" i="1"/>
  <c r="I69" i="1"/>
  <c r="I68" i="1"/>
  <c r="I66" i="1"/>
  <c r="I65" i="1"/>
  <c r="I64" i="1"/>
  <c r="I63" i="1"/>
  <c r="I62" i="1"/>
  <c r="K83" i="1"/>
  <c r="K82" i="1"/>
  <c r="K81" i="1"/>
  <c r="K80" i="1"/>
  <c r="K76" i="1"/>
  <c r="K75" i="1"/>
  <c r="K74" i="1"/>
  <c r="K70" i="1"/>
  <c r="K69" i="1"/>
  <c r="K68" i="1"/>
  <c r="K66" i="1"/>
  <c r="K65" i="1"/>
  <c r="K64" i="1"/>
  <c r="K63" i="1"/>
  <c r="K62" i="1"/>
  <c r="M83" i="1"/>
  <c r="M82" i="1"/>
  <c r="M81" i="1"/>
  <c r="M80" i="1"/>
  <c r="M79" i="1"/>
  <c r="N77" i="1"/>
  <c r="M76" i="1"/>
  <c r="M75" i="1"/>
  <c r="M74" i="1"/>
  <c r="M70" i="1"/>
  <c r="M69" i="1"/>
  <c r="M68" i="1"/>
  <c r="M66" i="1"/>
  <c r="M65" i="1"/>
  <c r="M64" i="1"/>
  <c r="M63" i="1"/>
  <c r="M62" i="1"/>
  <c r="O83" i="1"/>
  <c r="O82" i="1"/>
  <c r="O81" i="1"/>
  <c r="O80" i="1"/>
  <c r="O79" i="1"/>
  <c r="O76" i="1"/>
  <c r="O75" i="1"/>
  <c r="O74" i="1"/>
  <c r="O70" i="1"/>
  <c r="O69" i="1"/>
  <c r="O68" i="1"/>
  <c r="O66" i="1"/>
  <c r="O65" i="1"/>
  <c r="O64" i="1"/>
  <c r="O63" i="1"/>
  <c r="O62" i="1"/>
  <c r="V28" i="1"/>
  <c r="U13" i="1"/>
  <c r="U7" i="1"/>
  <c r="U23" i="1" s="1"/>
  <c r="V7" i="1"/>
  <c r="V13" i="1"/>
  <c r="B84" i="1"/>
  <c r="B77" i="1"/>
  <c r="B67" i="1"/>
  <c r="B71" i="1" s="1"/>
  <c r="C46" i="1"/>
  <c r="C53" i="1" s="1"/>
  <c r="C45" i="1"/>
  <c r="C40" i="1"/>
  <c r="B4" i="1"/>
  <c r="B7" i="1" s="1"/>
  <c r="B13" i="1"/>
  <c r="D67" i="1"/>
  <c r="D71" i="1" s="1"/>
  <c r="D84" i="1"/>
  <c r="D77" i="1"/>
  <c r="X77" i="1"/>
  <c r="W67" i="1"/>
  <c r="W71" i="1" s="1"/>
  <c r="W84" i="1"/>
  <c r="W77" i="1"/>
  <c r="W4" i="1"/>
  <c r="W7" i="1" s="1"/>
  <c r="W13" i="1"/>
  <c r="X67" i="1"/>
  <c r="X71" i="1" s="1"/>
  <c r="X89" i="1" s="1"/>
  <c r="X84" i="1"/>
  <c r="Y67" i="1"/>
  <c r="Y71" i="1" s="1"/>
  <c r="Y89" i="1" s="1"/>
  <c r="Y84" i="1"/>
  <c r="Y77" i="1"/>
  <c r="F67" i="1"/>
  <c r="F71" i="1" s="1"/>
  <c r="F84" i="1"/>
  <c r="F77" i="1"/>
  <c r="Z67" i="1"/>
  <c r="Z71" i="1" s="1"/>
  <c r="Z84" i="1"/>
  <c r="Z77" i="1"/>
  <c r="H67" i="1"/>
  <c r="H71" i="1" s="1"/>
  <c r="H84" i="1"/>
  <c r="H77" i="1"/>
  <c r="J67" i="1"/>
  <c r="J71" i="1" s="1"/>
  <c r="J84" i="1"/>
  <c r="J77" i="1"/>
  <c r="L67" i="1"/>
  <c r="L71" i="1" s="1"/>
  <c r="L84" i="1"/>
  <c r="L77" i="1"/>
  <c r="N84" i="1"/>
  <c r="N67" i="1"/>
  <c r="N71" i="1" s="1"/>
  <c r="AA67" i="1"/>
  <c r="AA71" i="1" s="1"/>
  <c r="AA84" i="1"/>
  <c r="AA77" i="1"/>
  <c r="AB67" i="1"/>
  <c r="AB71" i="1" s="1"/>
  <c r="AB89" i="1" s="1"/>
  <c r="AB84" i="1"/>
  <c r="AB77" i="1"/>
  <c r="AC84" i="1"/>
  <c r="AC77" i="1"/>
  <c r="AC67" i="1"/>
  <c r="AC71" i="1" s="1"/>
  <c r="AC91" i="1" s="1"/>
  <c r="O46" i="1"/>
  <c r="O53" i="1" s="1"/>
  <c r="O45" i="1"/>
  <c r="O40" i="1"/>
  <c r="N46" i="1"/>
  <c r="N53" i="1" s="1"/>
  <c r="N45" i="1"/>
  <c r="N40" i="1"/>
  <c r="M46" i="1"/>
  <c r="M53" i="1" s="1"/>
  <c r="K46" i="1"/>
  <c r="K53" i="1" s="1"/>
  <c r="M45" i="1"/>
  <c r="M40" i="1"/>
  <c r="L46" i="1"/>
  <c r="L53" i="1" s="1"/>
  <c r="L45" i="1"/>
  <c r="L40" i="1"/>
  <c r="K45" i="1"/>
  <c r="K40" i="1"/>
  <c r="J46" i="1"/>
  <c r="J53" i="1" s="1"/>
  <c r="J45" i="1"/>
  <c r="J40" i="1"/>
  <c r="I46" i="1"/>
  <c r="I30" i="1" s="1"/>
  <c r="I45" i="1"/>
  <c r="I40" i="1"/>
  <c r="H46" i="1"/>
  <c r="H53" i="1" s="1"/>
  <c r="H45" i="1"/>
  <c r="H40" i="1"/>
  <c r="G46" i="1"/>
  <c r="G53" i="1" s="1"/>
  <c r="G45" i="1"/>
  <c r="G40" i="1"/>
  <c r="E46" i="1"/>
  <c r="E30" i="1" s="1"/>
  <c r="E45" i="1"/>
  <c r="E40" i="1"/>
  <c r="F46" i="1"/>
  <c r="F53" i="1" s="1"/>
  <c r="F45" i="1"/>
  <c r="F40" i="1"/>
  <c r="D46" i="1"/>
  <c r="D53" i="1" s="1"/>
  <c r="D45" i="1"/>
  <c r="D40" i="1"/>
  <c r="O21" i="1"/>
  <c r="M5" i="2" s="1"/>
  <c r="M6" i="2" s="1"/>
  <c r="M9" i="2" s="1"/>
  <c r="M11" i="2" s="1"/>
  <c r="O18" i="1"/>
  <c r="O16" i="1"/>
  <c r="O15" i="1"/>
  <c r="O12" i="1"/>
  <c r="O11" i="1"/>
  <c r="O10" i="1"/>
  <c r="O9" i="1"/>
  <c r="O8" i="1"/>
  <c r="O6" i="1"/>
  <c r="O5" i="1"/>
  <c r="O4" i="1"/>
  <c r="AC28" i="1"/>
  <c r="AC13" i="1"/>
  <c r="AC7" i="1"/>
  <c r="N7" i="1"/>
  <c r="N28" i="1"/>
  <c r="N13" i="1"/>
  <c r="M5" i="1"/>
  <c r="M4" i="1"/>
  <c r="M21" i="1"/>
  <c r="M18" i="1"/>
  <c r="M16" i="1"/>
  <c r="M15" i="1"/>
  <c r="M12" i="1"/>
  <c r="M11" i="1"/>
  <c r="M10" i="1"/>
  <c r="M9" i="1"/>
  <c r="M8" i="1"/>
  <c r="M6" i="1"/>
  <c r="D4" i="1"/>
  <c r="F4" i="1"/>
  <c r="H28" i="1" s="1"/>
  <c r="X4" i="1"/>
  <c r="X7" i="1" s="1"/>
  <c r="X23" i="1" s="1"/>
  <c r="Y4" i="1"/>
  <c r="Y7" i="1" s="1"/>
  <c r="Y23" i="1" s="1"/>
  <c r="AB13" i="1"/>
  <c r="AB7" i="1"/>
  <c r="AB23" i="1" s="1"/>
  <c r="L28" i="1"/>
  <c r="L13" i="1"/>
  <c r="L7" i="1"/>
  <c r="L23" i="1" s="1"/>
  <c r="K21" i="1"/>
  <c r="K18" i="1"/>
  <c r="K16" i="1"/>
  <c r="K15" i="1"/>
  <c r="K12" i="1"/>
  <c r="K11" i="1"/>
  <c r="K10" i="1"/>
  <c r="K9" i="1"/>
  <c r="K8" i="1"/>
  <c r="K6" i="1"/>
  <c r="K5" i="1"/>
  <c r="K4" i="1"/>
  <c r="J28" i="1"/>
  <c r="J13" i="1"/>
  <c r="J7" i="1"/>
  <c r="J23" i="1" s="1"/>
  <c r="AA28" i="1"/>
  <c r="AA13" i="1"/>
  <c r="AA7" i="1"/>
  <c r="AA23" i="1" s="1"/>
  <c r="I21" i="1"/>
  <c r="I18" i="1"/>
  <c r="I16" i="1"/>
  <c r="I15" i="1"/>
  <c r="I12" i="1"/>
  <c r="I11" i="1"/>
  <c r="I10" i="1"/>
  <c r="I9" i="1"/>
  <c r="I8" i="1"/>
  <c r="I6" i="1"/>
  <c r="I5" i="1"/>
  <c r="I4" i="1"/>
  <c r="Z13" i="1"/>
  <c r="Z7" i="1"/>
  <c r="Z23" i="1" s="1"/>
  <c r="F13" i="1"/>
  <c r="D13" i="1"/>
  <c r="H13" i="1"/>
  <c r="X13" i="1"/>
  <c r="H7" i="1"/>
  <c r="H23" i="1" s="1"/>
  <c r="Y13" i="1"/>
  <c r="G21" i="1"/>
  <c r="G18" i="1"/>
  <c r="G16" i="1"/>
  <c r="G15" i="1"/>
  <c r="G12" i="1"/>
  <c r="G11" i="1"/>
  <c r="G10" i="1"/>
  <c r="G9" i="1"/>
  <c r="G8" i="1"/>
  <c r="G6" i="1"/>
  <c r="G5" i="1"/>
  <c r="E21" i="1"/>
  <c r="E18" i="1"/>
  <c r="E16" i="1"/>
  <c r="E15" i="1"/>
  <c r="E12" i="1"/>
  <c r="E11" i="1"/>
  <c r="E10" i="1"/>
  <c r="E9" i="1"/>
  <c r="E8" i="1"/>
  <c r="E6" i="1"/>
  <c r="E5" i="1"/>
  <c r="Y3" i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K77" i="1" l="1"/>
  <c r="I77" i="1"/>
  <c r="E77" i="1"/>
  <c r="E84" i="1"/>
  <c r="M77" i="1"/>
  <c r="I84" i="1"/>
  <c r="O84" i="1"/>
  <c r="M84" i="1"/>
  <c r="G84" i="1"/>
  <c r="C77" i="1"/>
  <c r="O77" i="1"/>
  <c r="K84" i="1"/>
  <c r="W28" i="1"/>
  <c r="K67" i="1"/>
  <c r="K71" i="1" s="1"/>
  <c r="C4" i="1"/>
  <c r="C7" i="1" s="1"/>
  <c r="I67" i="1"/>
  <c r="I71" i="1" s="1"/>
  <c r="G67" i="1"/>
  <c r="G71" i="1" s="1"/>
  <c r="C67" i="1"/>
  <c r="C71" i="1" s="1"/>
  <c r="E67" i="1"/>
  <c r="E71" i="1" s="1"/>
  <c r="O71" i="1"/>
  <c r="M67" i="1"/>
  <c r="M71" i="1" s="1"/>
  <c r="U14" i="1"/>
  <c r="V23" i="1"/>
  <c r="V14" i="1"/>
  <c r="AC92" i="1"/>
  <c r="X90" i="1"/>
  <c r="X91" i="1"/>
  <c r="X92" i="1"/>
  <c r="B92" i="1"/>
  <c r="B91" i="1"/>
  <c r="B90" i="1"/>
  <c r="B89" i="1"/>
  <c r="B86" i="1"/>
  <c r="C30" i="1"/>
  <c r="C54" i="1"/>
  <c r="C56" i="1" s="1"/>
  <c r="B23" i="1"/>
  <c r="B14" i="1"/>
  <c r="D92" i="1"/>
  <c r="D91" i="1"/>
  <c r="D90" i="1"/>
  <c r="D89" i="1"/>
  <c r="D86" i="1"/>
  <c r="N92" i="1"/>
  <c r="N91" i="1"/>
  <c r="N90" i="1"/>
  <c r="N89" i="1"/>
  <c r="N86" i="1"/>
  <c r="AB92" i="1"/>
  <c r="AB91" i="1"/>
  <c r="X28" i="1"/>
  <c r="AC86" i="1"/>
  <c r="AB90" i="1"/>
  <c r="AC89" i="1"/>
  <c r="N30" i="1"/>
  <c r="AC90" i="1"/>
  <c r="W92" i="1"/>
  <c r="W91" i="1"/>
  <c r="W90" i="1"/>
  <c r="W89" i="1"/>
  <c r="W86" i="1"/>
  <c r="W23" i="1"/>
  <c r="W14" i="1"/>
  <c r="X86" i="1"/>
  <c r="X87" i="1" s="1"/>
  <c r="Y92" i="1"/>
  <c r="Y91" i="1"/>
  <c r="Y86" i="1"/>
  <c r="Y90" i="1"/>
  <c r="F92" i="1"/>
  <c r="F91" i="1"/>
  <c r="F90" i="1"/>
  <c r="F89" i="1"/>
  <c r="F86" i="1"/>
  <c r="Z92" i="1"/>
  <c r="Z91" i="1"/>
  <c r="Z90" i="1"/>
  <c r="Z89" i="1"/>
  <c r="Z86" i="1"/>
  <c r="H86" i="1"/>
  <c r="H91" i="1"/>
  <c r="H92" i="1"/>
  <c r="H90" i="1"/>
  <c r="H89" i="1"/>
  <c r="J91" i="1"/>
  <c r="J90" i="1"/>
  <c r="J89" i="1"/>
  <c r="J86" i="1"/>
  <c r="J92" i="1"/>
  <c r="L92" i="1"/>
  <c r="L91" i="1"/>
  <c r="L90" i="1"/>
  <c r="L89" i="1"/>
  <c r="L86" i="1"/>
  <c r="AA89" i="1"/>
  <c r="AA86" i="1"/>
  <c r="AA92" i="1"/>
  <c r="AA91" i="1"/>
  <c r="AA90" i="1"/>
  <c r="AB86" i="1"/>
  <c r="E53" i="1"/>
  <c r="E54" i="1" s="1"/>
  <c r="H30" i="1"/>
  <c r="O54" i="1"/>
  <c r="O56" i="1" s="1"/>
  <c r="O30" i="1"/>
  <c r="N54" i="1"/>
  <c r="N56" i="1" s="1"/>
  <c r="D30" i="1"/>
  <c r="M30" i="1"/>
  <c r="M54" i="1"/>
  <c r="M56" i="1" s="1"/>
  <c r="D54" i="1"/>
  <c r="F30" i="1"/>
  <c r="L30" i="1"/>
  <c r="L54" i="1"/>
  <c r="L55" i="1" s="1"/>
  <c r="K30" i="1"/>
  <c r="K54" i="1"/>
  <c r="K56" i="1" s="1"/>
  <c r="J54" i="1"/>
  <c r="J56" i="1" s="1"/>
  <c r="J30" i="1"/>
  <c r="I53" i="1"/>
  <c r="I54" i="1" s="1"/>
  <c r="I55" i="1" s="1"/>
  <c r="H54" i="1"/>
  <c r="H56" i="1" s="1"/>
  <c r="G30" i="1"/>
  <c r="G54" i="1"/>
  <c r="G55" i="1" s="1"/>
  <c r="F54" i="1"/>
  <c r="F56" i="1" s="1"/>
  <c r="N14" i="1"/>
  <c r="N17" i="1" s="1"/>
  <c r="M28" i="1"/>
  <c r="O13" i="1"/>
  <c r="Y14" i="1"/>
  <c r="Y17" i="1" s="1"/>
  <c r="Y19" i="1" s="1"/>
  <c r="O28" i="1"/>
  <c r="O7" i="1"/>
  <c r="AC14" i="1"/>
  <c r="AC23" i="1"/>
  <c r="N23" i="1"/>
  <c r="E13" i="1"/>
  <c r="G13" i="1"/>
  <c r="Z28" i="1"/>
  <c r="Y28" i="1"/>
  <c r="E4" i="1"/>
  <c r="E7" i="1" s="1"/>
  <c r="E23" i="1" s="1"/>
  <c r="H14" i="1"/>
  <c r="H24" i="1" s="1"/>
  <c r="M13" i="1"/>
  <c r="X14" i="1"/>
  <c r="X17" i="1" s="1"/>
  <c r="X19" i="1" s="1"/>
  <c r="D7" i="1"/>
  <c r="F7" i="1"/>
  <c r="F28" i="1"/>
  <c r="G4" i="1"/>
  <c r="I28" i="1" s="1"/>
  <c r="K7" i="1"/>
  <c r="K23" i="1" s="1"/>
  <c r="M7" i="1"/>
  <c r="M23" i="1" s="1"/>
  <c r="AB14" i="1"/>
  <c r="AB24" i="1" s="1"/>
  <c r="L14" i="1"/>
  <c r="L17" i="1" s="1"/>
  <c r="K13" i="1"/>
  <c r="K28" i="1"/>
  <c r="J14" i="1"/>
  <c r="J17" i="1" s="1"/>
  <c r="AA14" i="1"/>
  <c r="AA24" i="1" s="1"/>
  <c r="Z14" i="1"/>
  <c r="Z24" i="1" s="1"/>
  <c r="I7" i="1"/>
  <c r="I23" i="1" s="1"/>
  <c r="I13" i="1"/>
  <c r="M92" i="1" l="1"/>
  <c r="M91" i="1"/>
  <c r="M90" i="1"/>
  <c r="M89" i="1"/>
  <c r="M86" i="1"/>
  <c r="I91" i="1"/>
  <c r="I90" i="1"/>
  <c r="I89" i="1"/>
  <c r="I86" i="1"/>
  <c r="I92" i="1"/>
  <c r="K92" i="1"/>
  <c r="K91" i="1"/>
  <c r="K90" i="1"/>
  <c r="K89" i="1"/>
  <c r="K86" i="1"/>
  <c r="C23" i="1"/>
  <c r="C14" i="1"/>
  <c r="C92" i="1"/>
  <c r="C90" i="1"/>
  <c r="C89" i="1"/>
  <c r="C86" i="1"/>
  <c r="C87" i="1" s="1"/>
  <c r="D87" i="1" s="1"/>
  <c r="C91" i="1"/>
  <c r="G92" i="1"/>
  <c r="G90" i="1"/>
  <c r="G86" i="1"/>
  <c r="G89" i="1"/>
  <c r="G91" i="1"/>
  <c r="O89" i="1"/>
  <c r="O86" i="1"/>
  <c r="O92" i="1"/>
  <c r="O91" i="1"/>
  <c r="O90" i="1"/>
  <c r="E92" i="1"/>
  <c r="E91" i="1"/>
  <c r="E89" i="1"/>
  <c r="E86" i="1"/>
  <c r="E90" i="1"/>
  <c r="U24" i="1"/>
  <c r="U17" i="1"/>
  <c r="V24" i="1"/>
  <c r="V17" i="1"/>
  <c r="Y87" i="1"/>
  <c r="Z87" i="1" s="1"/>
  <c r="AA87" i="1" s="1"/>
  <c r="AB87" i="1" s="1"/>
  <c r="AC87" i="1" s="1"/>
  <c r="C55" i="1"/>
  <c r="B24" i="1"/>
  <c r="B17" i="1"/>
  <c r="X20" i="1"/>
  <c r="X61" i="1"/>
  <c r="Y20" i="1"/>
  <c r="Y61" i="1"/>
  <c r="W24" i="1"/>
  <c r="W17" i="1"/>
  <c r="AC17" i="1"/>
  <c r="AC19" i="1" s="1"/>
  <c r="AC61" i="1"/>
  <c r="O55" i="1"/>
  <c r="N55" i="1"/>
  <c r="M55" i="1"/>
  <c r="D55" i="1"/>
  <c r="D56" i="1"/>
  <c r="L56" i="1"/>
  <c r="K55" i="1"/>
  <c r="J55" i="1"/>
  <c r="I56" i="1"/>
  <c r="H55" i="1"/>
  <c r="G56" i="1"/>
  <c r="E55" i="1"/>
  <c r="E56" i="1"/>
  <c r="F55" i="1"/>
  <c r="G7" i="1"/>
  <c r="G23" i="1" s="1"/>
  <c r="N24" i="1"/>
  <c r="G28" i="1"/>
  <c r="Y26" i="1"/>
  <c r="Y25" i="1"/>
  <c r="Y24" i="1"/>
  <c r="H17" i="1"/>
  <c r="H19" i="1" s="1"/>
  <c r="E14" i="1"/>
  <c r="E17" i="1" s="1"/>
  <c r="F14" i="1"/>
  <c r="F24" i="1" s="1"/>
  <c r="F23" i="1"/>
  <c r="D14" i="1"/>
  <c r="D24" i="1" s="1"/>
  <c r="D23" i="1"/>
  <c r="O14" i="1"/>
  <c r="O23" i="1"/>
  <c r="AC24" i="1"/>
  <c r="X24" i="1"/>
  <c r="N19" i="1"/>
  <c r="N61" i="1" s="1"/>
  <c r="N26" i="1"/>
  <c r="M14" i="1"/>
  <c r="M24" i="1" s="1"/>
  <c r="K14" i="1"/>
  <c r="K17" i="1" s="1"/>
  <c r="AB17" i="1"/>
  <c r="AB26" i="1" s="1"/>
  <c r="L24" i="1"/>
  <c r="L26" i="1"/>
  <c r="L19" i="1"/>
  <c r="L61" i="1" s="1"/>
  <c r="J24" i="1"/>
  <c r="J19" i="1"/>
  <c r="J61" i="1" s="1"/>
  <c r="J26" i="1"/>
  <c r="AA17" i="1"/>
  <c r="AA26" i="1" s="1"/>
  <c r="Z17" i="1"/>
  <c r="Z26" i="1" s="1"/>
  <c r="I14" i="1"/>
  <c r="I17" i="1" s="1"/>
  <c r="I26" i="1" s="1"/>
  <c r="X26" i="1"/>
  <c r="X25" i="1"/>
  <c r="E87" i="1" l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C17" i="1"/>
  <c r="C24" i="1"/>
  <c r="U26" i="1"/>
  <c r="U19" i="1"/>
  <c r="V19" i="1"/>
  <c r="V26" i="1"/>
  <c r="B19" i="1"/>
  <c r="B61" i="1" s="1"/>
  <c r="B26" i="1"/>
  <c r="AC26" i="1"/>
  <c r="H25" i="1"/>
  <c r="H61" i="1"/>
  <c r="W26" i="1"/>
  <c r="W19" i="1"/>
  <c r="W61" i="1" s="1"/>
  <c r="G14" i="1"/>
  <c r="G17" i="1" s="1"/>
  <c r="G19" i="1" s="1"/>
  <c r="F17" i="1"/>
  <c r="F19" i="1" s="1"/>
  <c r="D17" i="1"/>
  <c r="D19" i="1" s="1"/>
  <c r="E24" i="1"/>
  <c r="H20" i="1"/>
  <c r="H26" i="1"/>
  <c r="O24" i="1"/>
  <c r="O17" i="1"/>
  <c r="AC25" i="1"/>
  <c r="AC20" i="1"/>
  <c r="N25" i="1"/>
  <c r="N20" i="1"/>
  <c r="M17" i="1"/>
  <c r="M26" i="1" s="1"/>
  <c r="K24" i="1"/>
  <c r="AB19" i="1"/>
  <c r="L25" i="1"/>
  <c r="L20" i="1"/>
  <c r="K19" i="1"/>
  <c r="K61" i="1" s="1"/>
  <c r="K26" i="1"/>
  <c r="J25" i="1"/>
  <c r="J20" i="1"/>
  <c r="AA19" i="1"/>
  <c r="Z19" i="1"/>
  <c r="I24" i="1"/>
  <c r="I19" i="1"/>
  <c r="E19" i="1"/>
  <c r="E61" i="1" s="1"/>
  <c r="E26" i="1"/>
  <c r="C26" i="1" l="1"/>
  <c r="C19" i="1"/>
  <c r="I25" i="1"/>
  <c r="I61" i="1"/>
  <c r="G20" i="1"/>
  <c r="G61" i="1"/>
  <c r="U25" i="1"/>
  <c r="U20" i="1"/>
  <c r="V25" i="1"/>
  <c r="V20" i="1"/>
  <c r="B20" i="1"/>
  <c r="B25" i="1"/>
  <c r="D20" i="1"/>
  <c r="D61" i="1"/>
  <c r="AB25" i="1"/>
  <c r="AB61" i="1"/>
  <c r="F20" i="1"/>
  <c r="F61" i="1"/>
  <c r="Z20" i="1"/>
  <c r="Z61" i="1"/>
  <c r="AA25" i="1"/>
  <c r="AA61" i="1"/>
  <c r="W25" i="1"/>
  <c r="W20" i="1"/>
  <c r="G25" i="1"/>
  <c r="G26" i="1"/>
  <c r="G24" i="1"/>
  <c r="F26" i="1"/>
  <c r="F25" i="1"/>
  <c r="D26" i="1"/>
  <c r="D25" i="1"/>
  <c r="O19" i="1"/>
  <c r="O61" i="1" s="1"/>
  <c r="O26" i="1"/>
  <c r="M19" i="1"/>
  <c r="AB20" i="1"/>
  <c r="K20" i="1"/>
  <c r="K25" i="1"/>
  <c r="AA20" i="1"/>
  <c r="Z25" i="1"/>
  <c r="I20" i="1"/>
  <c r="E20" i="1"/>
  <c r="E25" i="1"/>
  <c r="M20" i="1" l="1"/>
  <c r="M61" i="1"/>
  <c r="C25" i="1"/>
  <c r="C20" i="1"/>
  <c r="C61" i="1"/>
  <c r="O25" i="1"/>
  <c r="O20" i="1"/>
  <c r="M25" i="1"/>
</calcChain>
</file>

<file path=xl/sharedStrings.xml><?xml version="1.0" encoding="utf-8"?>
<sst xmlns="http://schemas.openxmlformats.org/spreadsheetml/2006/main" count="110" uniqueCount="96">
  <si>
    <t>Alfen</t>
  </si>
  <si>
    <t>(ALFEN)</t>
  </si>
  <si>
    <t>Revenue</t>
  </si>
  <si>
    <t>Outsourced &amp; other</t>
  </si>
  <si>
    <t>Raw materials &amp; consumables</t>
  </si>
  <si>
    <t>Personnel</t>
  </si>
  <si>
    <t>Amortisation</t>
  </si>
  <si>
    <t>Depreciation</t>
  </si>
  <si>
    <t>Other</t>
  </si>
  <si>
    <t>Operating expense</t>
  </si>
  <si>
    <t>Operating income</t>
  </si>
  <si>
    <t>Interest income</t>
  </si>
  <si>
    <t>Interest expense</t>
  </si>
  <si>
    <t>Pretax</t>
  </si>
  <si>
    <t>Taxes</t>
  </si>
  <si>
    <t>Net income</t>
  </si>
  <si>
    <t>EPS</t>
  </si>
  <si>
    <t>Shares</t>
  </si>
  <si>
    <t>PP&amp;E</t>
  </si>
  <si>
    <t>Intangible</t>
  </si>
  <si>
    <t>D/T</t>
  </si>
  <si>
    <t>Receivables</t>
  </si>
  <si>
    <t>Inventories</t>
  </si>
  <si>
    <t>A/R</t>
  </si>
  <si>
    <t>Cash</t>
  </si>
  <si>
    <t>Assets</t>
  </si>
  <si>
    <t>Share capital</t>
  </si>
  <si>
    <t>Share premium</t>
  </si>
  <si>
    <t>Retained earnings</t>
  </si>
  <si>
    <t>Result for the year</t>
  </si>
  <si>
    <t>Debt</t>
  </si>
  <si>
    <t>Provisions</t>
  </si>
  <si>
    <t>A/P</t>
  </si>
  <si>
    <t>Bank overdraft</t>
  </si>
  <si>
    <t>D/R</t>
  </si>
  <si>
    <t>Liabilities</t>
  </si>
  <si>
    <t>Net cash</t>
  </si>
  <si>
    <t>Model NI</t>
  </si>
  <si>
    <t>Reported NI</t>
  </si>
  <si>
    <t>D&amp;A</t>
  </si>
  <si>
    <t>Provision</t>
  </si>
  <si>
    <t>SBC</t>
  </si>
  <si>
    <t>Working capital</t>
  </si>
  <si>
    <t>Interest paid</t>
  </si>
  <si>
    <t>Interest recieved</t>
  </si>
  <si>
    <t>CFFO</t>
  </si>
  <si>
    <t>CapEx</t>
  </si>
  <si>
    <t>CFFI</t>
  </si>
  <si>
    <t>Buybacks</t>
  </si>
  <si>
    <t>Debt repayment</t>
  </si>
  <si>
    <t>Dividends</t>
  </si>
  <si>
    <t>CFFF</t>
  </si>
  <si>
    <t>CIC</t>
  </si>
  <si>
    <t>Cash end of period</t>
  </si>
  <si>
    <t>CFFO+CapEx</t>
  </si>
  <si>
    <t>CFFO+CapEx-SBC</t>
  </si>
  <si>
    <t>CFFO+CapEx-SBC+Buybacks</t>
  </si>
  <si>
    <t>CFFO+CapEx-SBC+Buybacks+Dividends</t>
  </si>
  <si>
    <t>18H1</t>
  </si>
  <si>
    <t>(in thousands)</t>
  </si>
  <si>
    <t>18H2</t>
  </si>
  <si>
    <t>19H1</t>
  </si>
  <si>
    <t>19H2</t>
  </si>
  <si>
    <t>20H1</t>
  </si>
  <si>
    <t>20H2</t>
  </si>
  <si>
    <t>21H1</t>
  </si>
  <si>
    <t>21H2</t>
  </si>
  <si>
    <t>22H1</t>
  </si>
  <si>
    <t>22H2</t>
  </si>
  <si>
    <t>23H1</t>
  </si>
  <si>
    <t>23H2</t>
  </si>
  <si>
    <t>Losses</t>
  </si>
  <si>
    <t>Operating margin</t>
  </si>
  <si>
    <t>Net margin</t>
  </si>
  <si>
    <t>Taxe rate</t>
  </si>
  <si>
    <t>Revenue y/y</t>
  </si>
  <si>
    <t>Gross profit</t>
  </si>
  <si>
    <t>Gross margin</t>
  </si>
  <si>
    <t>Group equity</t>
  </si>
  <si>
    <t>S/E</t>
  </si>
  <si>
    <t>L+S/E</t>
  </si>
  <si>
    <t>Group+S/E</t>
  </si>
  <si>
    <t>Loans</t>
  </si>
  <si>
    <t>Treasury</t>
  </si>
  <si>
    <t>Acquisition</t>
  </si>
  <si>
    <t>17H1</t>
  </si>
  <si>
    <t>17H2</t>
  </si>
  <si>
    <t>Price</t>
  </si>
  <si>
    <t>MC</t>
  </si>
  <si>
    <t>EV</t>
  </si>
  <si>
    <t>Smart grid solution</t>
  </si>
  <si>
    <t>Energy storage systems</t>
  </si>
  <si>
    <t>EV charging equipment</t>
  </si>
  <si>
    <t>Business segments</t>
  </si>
  <si>
    <t>ROIC</t>
  </si>
  <si>
    <t>TTM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</si>
</sst>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3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</xdr:colOff>
      <xdr:row>0</xdr:row>
      <xdr:rowOff>28575</xdr:rowOff>
    </xdr:from>
    <xdr:to>
      <xdr:col>29</xdr:col>
      <xdr:colOff>19050</xdr:colOff>
      <xdr:row>94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F476BFF-74D8-E950-9AD1-76A170C2D2DB}"/>
            </a:ext>
          </a:extLst>
        </xdr:cNvPr>
        <xdr:cNvCxnSpPr/>
      </xdr:nvCxnSpPr>
      <xdr:spPr>
        <a:xfrm>
          <a:off x="16030575" y="28575"/>
          <a:ext cx="0" cy="15011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38100</xdr:rowOff>
    </xdr:from>
    <xdr:to>
      <xdr:col>15</xdr:col>
      <xdr:colOff>19050</xdr:colOff>
      <xdr:row>94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63CC5A4-9CDA-4AC0-ABA4-F84398B8766B}"/>
            </a:ext>
          </a:extLst>
        </xdr:cNvPr>
        <xdr:cNvCxnSpPr/>
      </xdr:nvCxnSpPr>
      <xdr:spPr>
        <a:xfrm>
          <a:off x="10477500" y="38100"/>
          <a:ext cx="0" cy="15011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A6A7-DE55-4199-A2FF-E2F417798452}">
  <dimension ref="A1:M11"/>
  <sheetViews>
    <sheetView workbookViewId="0">
      <selection activeCell="D7" sqref="D7"/>
    </sheetView>
  </sheetViews>
  <sheetFormatPr defaultRowHeight="12.75" x14ac:dyDescent="0.2"/>
  <cols>
    <col min="1" max="1" width="14" bestFit="1" customWidth="1"/>
    <col min="3" max="3" width="21.7109375" bestFit="1" customWidth="1"/>
  </cols>
  <sheetData>
    <row r="1" spans="1:13" ht="34.5" x14ac:dyDescent="0.45">
      <c r="A1" s="1" t="s">
        <v>0</v>
      </c>
    </row>
    <row r="2" spans="1:13" x14ac:dyDescent="0.2">
      <c r="A2" t="s">
        <v>1</v>
      </c>
    </row>
    <row r="3" spans="1:13" x14ac:dyDescent="0.2">
      <c r="A3" t="s">
        <v>59</v>
      </c>
      <c r="C3" s="2" t="s">
        <v>93</v>
      </c>
      <c r="D3">
        <v>2023</v>
      </c>
    </row>
    <row r="4" spans="1:13" x14ac:dyDescent="0.2">
      <c r="C4" t="s">
        <v>90</v>
      </c>
      <c r="D4" s="7">
        <v>0.37</v>
      </c>
      <c r="L4" t="s">
        <v>87</v>
      </c>
      <c r="M4" s="5">
        <v>38</v>
      </c>
    </row>
    <row r="5" spans="1:13" x14ac:dyDescent="0.2">
      <c r="C5" t="s">
        <v>91</v>
      </c>
      <c r="D5" s="7">
        <v>0.32</v>
      </c>
      <c r="L5" t="s">
        <v>17</v>
      </c>
      <c r="M5" s="5">
        <f>+Model!O21</f>
        <v>21773.241000000002</v>
      </c>
    </row>
    <row r="6" spans="1:13" x14ac:dyDescent="0.2">
      <c r="C6" t="s">
        <v>92</v>
      </c>
      <c r="D6" s="7">
        <v>0.31</v>
      </c>
      <c r="L6" t="s">
        <v>88</v>
      </c>
      <c r="M6" s="5">
        <f>+M4*M5</f>
        <v>827383.15800000005</v>
      </c>
    </row>
    <row r="7" spans="1:13" x14ac:dyDescent="0.2">
      <c r="L7" t="s">
        <v>24</v>
      </c>
      <c r="M7" s="5">
        <v>2073</v>
      </c>
    </row>
    <row r="8" spans="1:13" x14ac:dyDescent="0.2">
      <c r="L8" t="s">
        <v>30</v>
      </c>
      <c r="M8" s="5">
        <v>50770</v>
      </c>
    </row>
    <row r="9" spans="1:13" x14ac:dyDescent="0.2">
      <c r="L9" t="s">
        <v>89</v>
      </c>
      <c r="M9" s="5">
        <f>+M6-M7+M8</f>
        <v>876080.15800000005</v>
      </c>
    </row>
    <row r="10" spans="1:13" x14ac:dyDescent="0.2">
      <c r="M10" s="5">
        <f>20304*4</f>
        <v>81216</v>
      </c>
    </row>
    <row r="11" spans="1:13" x14ac:dyDescent="0.2">
      <c r="M11" s="8">
        <f>+M9/M10</f>
        <v>10.787038982466509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BCB3-6FDE-40D7-8D19-E3FD2B6D2650}">
  <dimension ref="A1:AN9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2" sqref="Q12"/>
    </sheetView>
  </sheetViews>
  <sheetFormatPr defaultRowHeight="12.75" x14ac:dyDescent="0.2"/>
  <cols>
    <col min="1" max="1" width="26.7109375" bestFit="1" customWidth="1"/>
    <col min="2" max="3" width="9.7109375" customWidth="1"/>
    <col min="4" max="7" width="9.140625" style="5"/>
    <col min="8" max="8" width="10.140625" style="5" bestFit="1" customWidth="1"/>
    <col min="9" max="28" width="9.140625" style="5"/>
    <col min="29" max="29" width="10.140625" style="5" bestFit="1" customWidth="1"/>
    <col min="30" max="16384" width="9.140625" style="5"/>
  </cols>
  <sheetData>
    <row r="1" spans="1:40" customFormat="1" ht="34.5" x14ac:dyDescent="0.45">
      <c r="A1" s="1" t="s">
        <v>0</v>
      </c>
      <c r="B1" s="1"/>
      <c r="C1" s="1"/>
    </row>
    <row r="2" spans="1:40" customFormat="1" x14ac:dyDescent="0.2">
      <c r="A2" t="s">
        <v>1</v>
      </c>
    </row>
    <row r="3" spans="1:40" s="3" customFormat="1" x14ac:dyDescent="0.2">
      <c r="A3" t="s">
        <v>59</v>
      </c>
      <c r="B3" s="3" t="s">
        <v>85</v>
      </c>
      <c r="C3" s="3" t="s">
        <v>86</v>
      </c>
      <c r="D3" s="3" t="s">
        <v>58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69</v>
      </c>
      <c r="O3" s="3" t="s">
        <v>70</v>
      </c>
      <c r="U3" s="3">
        <v>2015</v>
      </c>
      <c r="V3" s="3">
        <v>2016</v>
      </c>
      <c r="W3" s="3">
        <v>2017</v>
      </c>
      <c r="X3" s="3">
        <v>2018</v>
      </c>
      <c r="Y3" s="3">
        <f>+X3+1</f>
        <v>2019</v>
      </c>
      <c r="Z3" s="3">
        <f t="shared" ref="Z3:AN3" si="0">+Y3+1</f>
        <v>2020</v>
      </c>
      <c r="AA3" s="3">
        <f t="shared" si="0"/>
        <v>2021</v>
      </c>
      <c r="AB3" s="3">
        <f t="shared" si="0"/>
        <v>2022</v>
      </c>
      <c r="AC3" s="3">
        <f t="shared" si="0"/>
        <v>2023</v>
      </c>
      <c r="AD3" s="3">
        <f t="shared" si="0"/>
        <v>2024</v>
      </c>
      <c r="AE3" s="3">
        <f t="shared" si="0"/>
        <v>2025</v>
      </c>
      <c r="AF3" s="3">
        <f t="shared" si="0"/>
        <v>2026</v>
      </c>
      <c r="AG3" s="3">
        <f t="shared" si="0"/>
        <v>2027</v>
      </c>
      <c r="AH3" s="3">
        <f t="shared" si="0"/>
        <v>2028</v>
      </c>
      <c r="AI3" s="3">
        <f t="shared" si="0"/>
        <v>2029</v>
      </c>
      <c r="AJ3" s="3">
        <f t="shared" si="0"/>
        <v>2030</v>
      </c>
      <c r="AK3" s="3">
        <f t="shared" si="0"/>
        <v>2031</v>
      </c>
      <c r="AL3" s="3">
        <f t="shared" si="0"/>
        <v>2032</v>
      </c>
      <c r="AM3" s="3">
        <f t="shared" si="0"/>
        <v>2033</v>
      </c>
      <c r="AN3" s="3">
        <f t="shared" si="0"/>
        <v>2034</v>
      </c>
    </row>
    <row r="4" spans="1:40" s="4" customFormat="1" x14ac:dyDescent="0.2">
      <c r="A4" s="2" t="s">
        <v>2</v>
      </c>
      <c r="B4" s="4">
        <f>30909+70</f>
        <v>30979</v>
      </c>
      <c r="C4" s="4">
        <f>73368+968-B4</f>
        <v>43357</v>
      </c>
      <c r="D4" s="4">
        <f>39860+1159</f>
        <v>41019</v>
      </c>
      <c r="E4" s="4">
        <f>+X4-D4</f>
        <v>60874</v>
      </c>
      <c r="F4" s="4">
        <f>61505+66</f>
        <v>61571</v>
      </c>
      <c r="G4" s="4">
        <f>+Y4-F4</f>
        <v>81598</v>
      </c>
      <c r="H4" s="4">
        <v>90327</v>
      </c>
      <c r="I4" s="4">
        <f>+Z4-H4</f>
        <v>98683</v>
      </c>
      <c r="J4" s="4">
        <v>115345</v>
      </c>
      <c r="K4" s="4">
        <f>+AA4-J4</f>
        <v>134334</v>
      </c>
      <c r="L4" s="4">
        <v>205529</v>
      </c>
      <c r="M4" s="4">
        <f>+AB4-L4</f>
        <v>234347</v>
      </c>
      <c r="N4" s="4">
        <v>223938</v>
      </c>
      <c r="O4" s="4">
        <f>+AC4-N4</f>
        <v>280539</v>
      </c>
      <c r="U4" s="4">
        <v>50548</v>
      </c>
      <c r="V4" s="4">
        <v>61522</v>
      </c>
      <c r="W4" s="4">
        <f>73368+968</f>
        <v>74336</v>
      </c>
      <c r="X4" s="4">
        <f>100180+1713</f>
        <v>101893</v>
      </c>
      <c r="Y4" s="4">
        <f>143075+94</f>
        <v>143169</v>
      </c>
      <c r="Z4" s="4">
        <v>189010</v>
      </c>
      <c r="AA4" s="4">
        <v>249679</v>
      </c>
      <c r="AB4" s="4">
        <v>439876</v>
      </c>
      <c r="AC4" s="4">
        <v>504477</v>
      </c>
    </row>
    <row r="5" spans="1:40" x14ac:dyDescent="0.2">
      <c r="A5" t="s">
        <v>4</v>
      </c>
      <c r="B5" s="5">
        <v>21131</v>
      </c>
      <c r="C5" s="5">
        <f>49854-B5</f>
        <v>28723</v>
      </c>
      <c r="D5" s="5">
        <v>26497</v>
      </c>
      <c r="E5" s="5">
        <f>+X5-D5</f>
        <v>39962</v>
      </c>
      <c r="F5" s="5">
        <v>36513</v>
      </c>
      <c r="G5" s="5">
        <f>+Y5-F5</f>
        <v>50238</v>
      </c>
      <c r="H5" s="5">
        <v>54531</v>
      </c>
      <c r="I5" s="5">
        <f>+Z5-H5</f>
        <v>56535</v>
      </c>
      <c r="J5" s="5">
        <v>68393</v>
      </c>
      <c r="K5" s="5">
        <f>+AA5-J5</f>
        <v>80201</v>
      </c>
      <c r="L5" s="5">
        <v>121353</v>
      </c>
      <c r="M5" s="5">
        <f>+AB5-L5</f>
        <v>141604</v>
      </c>
      <c r="N5" s="5">
        <v>142542</v>
      </c>
      <c r="O5" s="5">
        <f>+AC5-N5</f>
        <v>181935</v>
      </c>
      <c r="U5" s="5">
        <v>34611</v>
      </c>
      <c r="V5" s="5">
        <v>42113</v>
      </c>
      <c r="W5" s="5">
        <v>49854</v>
      </c>
      <c r="X5" s="5">
        <v>66459</v>
      </c>
      <c r="Y5" s="5">
        <v>86751</v>
      </c>
      <c r="Z5" s="5">
        <v>111066</v>
      </c>
      <c r="AA5" s="5">
        <v>148594</v>
      </c>
      <c r="AB5" s="5">
        <v>262957</v>
      </c>
      <c r="AC5" s="5">
        <v>324477</v>
      </c>
    </row>
    <row r="6" spans="1:40" x14ac:dyDescent="0.2">
      <c r="A6" t="s">
        <v>3</v>
      </c>
      <c r="B6" s="5">
        <v>1078</v>
      </c>
      <c r="C6" s="5">
        <f>2852-B6</f>
        <v>1774</v>
      </c>
      <c r="D6" s="5">
        <v>1979</v>
      </c>
      <c r="E6" s="5">
        <f>+X6-D6</f>
        <v>3239</v>
      </c>
      <c r="F6" s="5">
        <v>2805</v>
      </c>
      <c r="G6" s="5">
        <f>+Y6-F6</f>
        <v>3344</v>
      </c>
      <c r="H6" s="5">
        <v>3756</v>
      </c>
      <c r="I6" s="5">
        <f>+Z6-H6</f>
        <v>4859</v>
      </c>
      <c r="J6" s="5">
        <v>4931</v>
      </c>
      <c r="K6" s="5">
        <f>+AA6-J6</f>
        <v>6356</v>
      </c>
      <c r="L6" s="5">
        <v>11569</v>
      </c>
      <c r="M6" s="5">
        <f>+AB6-L6</f>
        <v>11838</v>
      </c>
      <c r="N6" s="5">
        <v>13100</v>
      </c>
      <c r="O6" s="5">
        <f>+AC6-N6</f>
        <v>15811</v>
      </c>
      <c r="U6" s="5">
        <v>2460</v>
      </c>
      <c r="V6" s="5">
        <v>2395</v>
      </c>
      <c r="W6" s="5">
        <v>2852</v>
      </c>
      <c r="X6" s="5">
        <v>5218</v>
      </c>
      <c r="Y6" s="5">
        <v>6149</v>
      </c>
      <c r="Z6" s="5">
        <v>8615</v>
      </c>
      <c r="AA6" s="5">
        <v>11287</v>
      </c>
      <c r="AB6" s="5">
        <v>23407</v>
      </c>
      <c r="AC6" s="5">
        <v>28911</v>
      </c>
    </row>
    <row r="7" spans="1:40" x14ac:dyDescent="0.2">
      <c r="A7" t="s">
        <v>76</v>
      </c>
      <c r="B7" s="5">
        <f t="shared" ref="B7:O7" si="1">+SUM(B4:B4)-SUM(B5:B6)</f>
        <v>8770</v>
      </c>
      <c r="C7" s="5">
        <f t="shared" si="1"/>
        <v>12860</v>
      </c>
      <c r="D7" s="5">
        <f t="shared" si="1"/>
        <v>12543</v>
      </c>
      <c r="E7" s="5">
        <f t="shared" si="1"/>
        <v>17673</v>
      </c>
      <c r="F7" s="5">
        <f t="shared" si="1"/>
        <v>22253</v>
      </c>
      <c r="G7" s="5">
        <f t="shared" si="1"/>
        <v>28016</v>
      </c>
      <c r="H7" s="5">
        <f t="shared" si="1"/>
        <v>32040</v>
      </c>
      <c r="I7" s="5">
        <f t="shared" si="1"/>
        <v>37289</v>
      </c>
      <c r="J7" s="5">
        <f t="shared" si="1"/>
        <v>42021</v>
      </c>
      <c r="K7" s="5">
        <f t="shared" si="1"/>
        <v>47777</v>
      </c>
      <c r="L7" s="5">
        <f t="shared" si="1"/>
        <v>72607</v>
      </c>
      <c r="M7" s="5">
        <f t="shared" si="1"/>
        <v>80905</v>
      </c>
      <c r="N7" s="5">
        <f t="shared" si="1"/>
        <v>68296</v>
      </c>
      <c r="O7" s="5">
        <f t="shared" si="1"/>
        <v>82793</v>
      </c>
      <c r="U7" s="5">
        <f t="shared" ref="U7:AC7" si="2">+SUM(U4:U4)-SUM(U5:U6)</f>
        <v>13477</v>
      </c>
      <c r="V7" s="5">
        <f t="shared" si="2"/>
        <v>17014</v>
      </c>
      <c r="W7" s="5">
        <f t="shared" si="2"/>
        <v>21630</v>
      </c>
      <c r="X7" s="5">
        <f t="shared" si="2"/>
        <v>30216</v>
      </c>
      <c r="Y7" s="5">
        <f t="shared" si="2"/>
        <v>50269</v>
      </c>
      <c r="Z7" s="5">
        <f t="shared" si="2"/>
        <v>69329</v>
      </c>
      <c r="AA7" s="5">
        <f t="shared" si="2"/>
        <v>89798</v>
      </c>
      <c r="AB7" s="5">
        <f t="shared" si="2"/>
        <v>153512</v>
      </c>
      <c r="AC7" s="5">
        <f t="shared" si="2"/>
        <v>151089</v>
      </c>
    </row>
    <row r="8" spans="1:40" x14ac:dyDescent="0.2">
      <c r="A8" t="s">
        <v>5</v>
      </c>
      <c r="B8" s="5">
        <v>6074</v>
      </c>
      <c r="C8" s="5">
        <f>12773-B8</f>
        <v>6699</v>
      </c>
      <c r="D8" s="5">
        <v>7799</v>
      </c>
      <c r="E8" s="5">
        <f>+X8-D8</f>
        <v>11255</v>
      </c>
      <c r="F8" s="5">
        <v>13343</v>
      </c>
      <c r="G8" s="5">
        <f>+Y8-F8</f>
        <v>13847</v>
      </c>
      <c r="H8" s="5">
        <v>17107</v>
      </c>
      <c r="I8" s="5">
        <f>+Z8-H8</f>
        <v>17294</v>
      </c>
      <c r="J8" s="5">
        <v>19645</v>
      </c>
      <c r="K8" s="5">
        <f>+AA8-J8</f>
        <v>20406</v>
      </c>
      <c r="L8" s="5">
        <v>25762</v>
      </c>
      <c r="M8" s="5">
        <f>+AB8-L8</f>
        <v>27987</v>
      </c>
      <c r="N8" s="5">
        <v>34923</v>
      </c>
      <c r="O8" s="5">
        <f>+AC8-N8</f>
        <v>33588</v>
      </c>
      <c r="U8" s="5">
        <v>8262</v>
      </c>
      <c r="V8" s="5">
        <v>10730</v>
      </c>
      <c r="W8" s="5">
        <v>12773</v>
      </c>
      <c r="X8" s="5">
        <v>19054</v>
      </c>
      <c r="Y8" s="5">
        <v>27190</v>
      </c>
      <c r="Z8" s="5">
        <v>34401</v>
      </c>
      <c r="AA8" s="5">
        <v>40051</v>
      </c>
      <c r="AB8" s="5">
        <v>53749</v>
      </c>
      <c r="AC8" s="5">
        <v>68511</v>
      </c>
    </row>
    <row r="9" spans="1:40" x14ac:dyDescent="0.2">
      <c r="A9" t="s">
        <v>6</v>
      </c>
      <c r="B9" s="5">
        <v>515</v>
      </c>
      <c r="C9" s="5">
        <f>1030-B9</f>
        <v>515</v>
      </c>
      <c r="D9" s="5">
        <v>511</v>
      </c>
      <c r="E9" s="5">
        <f>+X9-D9</f>
        <v>1145</v>
      </c>
      <c r="F9" s="5">
        <v>1085</v>
      </c>
      <c r="G9" s="5">
        <f>+Y9-F9</f>
        <v>1076</v>
      </c>
      <c r="H9" s="5">
        <v>1291</v>
      </c>
      <c r="I9" s="5">
        <f>+Z9-H9</f>
        <v>1323</v>
      </c>
      <c r="J9" s="5">
        <v>1636</v>
      </c>
      <c r="K9" s="5">
        <f>+AA9-J9</f>
        <v>1772</v>
      </c>
      <c r="L9" s="5">
        <v>1946</v>
      </c>
      <c r="M9" s="5">
        <f>+AB9-L9</f>
        <v>1937</v>
      </c>
      <c r="N9" s="5">
        <v>2916</v>
      </c>
      <c r="O9" s="5">
        <f>+AC9-N9</f>
        <v>2703</v>
      </c>
      <c r="U9" s="5">
        <v>497</v>
      </c>
      <c r="V9" s="5">
        <v>745</v>
      </c>
      <c r="W9" s="5">
        <v>1030</v>
      </c>
      <c r="X9" s="5">
        <v>1656</v>
      </c>
      <c r="Y9" s="5">
        <v>2161</v>
      </c>
      <c r="Z9" s="5">
        <v>2614</v>
      </c>
      <c r="AA9" s="5">
        <v>3408</v>
      </c>
      <c r="AB9" s="5">
        <v>3883</v>
      </c>
      <c r="AC9" s="5">
        <v>5619</v>
      </c>
    </row>
    <row r="10" spans="1:40" x14ac:dyDescent="0.2">
      <c r="A10" t="s">
        <v>7</v>
      </c>
      <c r="B10" s="5">
        <v>280</v>
      </c>
      <c r="C10" s="5">
        <f>568-B10</f>
        <v>288</v>
      </c>
      <c r="D10" s="5">
        <v>351</v>
      </c>
      <c r="E10" s="5">
        <f>+X10-D10</f>
        <v>479</v>
      </c>
      <c r="F10" s="5">
        <v>1473</v>
      </c>
      <c r="G10" s="5">
        <f>+Y10-F10</f>
        <v>1592</v>
      </c>
      <c r="H10" s="5">
        <v>1791</v>
      </c>
      <c r="I10" s="5">
        <f>+Z10-H10</f>
        <v>2085</v>
      </c>
      <c r="J10" s="5">
        <v>2408</v>
      </c>
      <c r="K10" s="5">
        <f>+AA10-J10</f>
        <v>2697</v>
      </c>
      <c r="L10" s="5">
        <v>2950</v>
      </c>
      <c r="M10" s="5">
        <f>+AB10-L10</f>
        <v>3325</v>
      </c>
      <c r="N10" s="5">
        <v>3858</v>
      </c>
      <c r="O10" s="5">
        <f>+AC10-N10</f>
        <v>4679</v>
      </c>
      <c r="U10" s="5">
        <v>422</v>
      </c>
      <c r="V10" s="5">
        <v>450</v>
      </c>
      <c r="W10" s="5">
        <v>568</v>
      </c>
      <c r="X10" s="5">
        <v>830</v>
      </c>
      <c r="Y10" s="5">
        <v>3065</v>
      </c>
      <c r="Z10" s="5">
        <v>3876</v>
      </c>
      <c r="AA10" s="5">
        <v>5105</v>
      </c>
      <c r="AB10" s="5">
        <v>6275</v>
      </c>
      <c r="AC10" s="5">
        <v>8537</v>
      </c>
    </row>
    <row r="11" spans="1:40" x14ac:dyDescent="0.2">
      <c r="A11" t="s">
        <v>71</v>
      </c>
      <c r="B11" s="5">
        <v>0</v>
      </c>
      <c r="C11">
        <v>0</v>
      </c>
      <c r="D11" s="5">
        <v>0</v>
      </c>
      <c r="E11" s="5">
        <f>+X11-D11</f>
        <v>248</v>
      </c>
      <c r="F11" s="5">
        <v>53</v>
      </c>
      <c r="G11" s="5">
        <f>+Y11-F11</f>
        <v>-8</v>
      </c>
      <c r="H11" s="5">
        <v>0</v>
      </c>
      <c r="I11" s="5">
        <f>+Z11-H11</f>
        <v>2</v>
      </c>
      <c r="J11" s="5">
        <v>43</v>
      </c>
      <c r="K11" s="5">
        <f>+AA11-J11</f>
        <v>-93</v>
      </c>
      <c r="L11" s="5">
        <v>455</v>
      </c>
      <c r="M11" s="5">
        <f>+AB11-L11</f>
        <v>108</v>
      </c>
      <c r="N11" s="5">
        <v>466</v>
      </c>
      <c r="O11" s="5">
        <f>+AC11-N11</f>
        <v>-392</v>
      </c>
      <c r="U11" s="5">
        <v>0</v>
      </c>
      <c r="V11" s="5">
        <v>0</v>
      </c>
      <c r="W11" s="5">
        <v>50</v>
      </c>
      <c r="X11" s="5">
        <v>248</v>
      </c>
      <c r="Y11" s="5">
        <v>45</v>
      </c>
      <c r="Z11" s="5">
        <v>2</v>
      </c>
      <c r="AA11" s="5">
        <v>-50</v>
      </c>
      <c r="AB11" s="5">
        <v>563</v>
      </c>
      <c r="AC11" s="5">
        <v>74</v>
      </c>
    </row>
    <row r="12" spans="1:40" x14ac:dyDescent="0.2">
      <c r="A12" t="s">
        <v>8</v>
      </c>
      <c r="B12" s="5">
        <v>2083</v>
      </c>
      <c r="C12" s="5">
        <f>4842-B12</f>
        <v>2759</v>
      </c>
      <c r="D12" s="5">
        <v>3592</v>
      </c>
      <c r="E12" s="5">
        <f>+X12-D12</f>
        <v>4917</v>
      </c>
      <c r="F12" s="5">
        <v>4380</v>
      </c>
      <c r="G12" s="5">
        <f>+Y12-F12</f>
        <v>4783</v>
      </c>
      <c r="H12" s="5">
        <v>5279</v>
      </c>
      <c r="I12" s="5">
        <f>+Z12-H12</f>
        <v>5806</v>
      </c>
      <c r="J12" s="5">
        <v>5773</v>
      </c>
      <c r="K12" s="5">
        <f>+AA12-J12</f>
        <v>7821</v>
      </c>
      <c r="L12" s="5">
        <v>9974</v>
      </c>
      <c r="M12" s="5">
        <f>+AB12-L12</f>
        <v>11322</v>
      </c>
      <c r="N12" s="5">
        <v>12525</v>
      </c>
      <c r="O12" s="5">
        <f>+AC12-N12</f>
        <v>13964</v>
      </c>
      <c r="U12" s="5">
        <v>2956</v>
      </c>
      <c r="V12" s="5">
        <v>3482</v>
      </c>
      <c r="W12" s="5">
        <v>4792</v>
      </c>
      <c r="X12" s="5">
        <v>8509</v>
      </c>
      <c r="Y12" s="5">
        <v>9163</v>
      </c>
      <c r="Z12" s="5">
        <v>11085</v>
      </c>
      <c r="AA12" s="5">
        <v>13594</v>
      </c>
      <c r="AB12" s="5">
        <v>21296</v>
      </c>
      <c r="AC12" s="5">
        <v>26489</v>
      </c>
    </row>
    <row r="13" spans="1:40" x14ac:dyDescent="0.2">
      <c r="A13" t="s">
        <v>9</v>
      </c>
      <c r="B13" s="5">
        <f t="shared" ref="B13:G13" si="3">+SUM(B8:B12)</f>
        <v>8952</v>
      </c>
      <c r="C13" s="5">
        <f t="shared" si="3"/>
        <v>10261</v>
      </c>
      <c r="D13" s="5">
        <f t="shared" si="3"/>
        <v>12253</v>
      </c>
      <c r="E13" s="5">
        <f t="shared" si="3"/>
        <v>18044</v>
      </c>
      <c r="F13" s="5">
        <f t="shared" si="3"/>
        <v>20334</v>
      </c>
      <c r="G13" s="5">
        <f t="shared" si="3"/>
        <v>21290</v>
      </c>
      <c r="H13" s="5">
        <f t="shared" ref="H13:O13" si="4">+SUM(H8:H12)</f>
        <v>25468</v>
      </c>
      <c r="I13" s="5">
        <f t="shared" si="4"/>
        <v>26510</v>
      </c>
      <c r="J13" s="5">
        <f t="shared" si="4"/>
        <v>29505</v>
      </c>
      <c r="K13" s="5">
        <f t="shared" si="4"/>
        <v>32603</v>
      </c>
      <c r="L13" s="5">
        <f t="shared" si="4"/>
        <v>41087</v>
      </c>
      <c r="M13" s="5">
        <f t="shared" si="4"/>
        <v>44679</v>
      </c>
      <c r="N13" s="5">
        <f t="shared" si="4"/>
        <v>54688</v>
      </c>
      <c r="O13" s="5">
        <f t="shared" si="4"/>
        <v>54542</v>
      </c>
      <c r="U13" s="5">
        <f t="shared" ref="U13:AC13" si="5">+SUM(U8:U12)</f>
        <v>12137</v>
      </c>
      <c r="V13" s="5">
        <f t="shared" si="5"/>
        <v>15407</v>
      </c>
      <c r="W13" s="5">
        <f t="shared" si="5"/>
        <v>19213</v>
      </c>
      <c r="X13" s="5">
        <f t="shared" si="5"/>
        <v>30297</v>
      </c>
      <c r="Y13" s="5">
        <f t="shared" si="5"/>
        <v>41624</v>
      </c>
      <c r="Z13" s="5">
        <f t="shared" si="5"/>
        <v>51978</v>
      </c>
      <c r="AA13" s="5">
        <f t="shared" si="5"/>
        <v>62108</v>
      </c>
      <c r="AB13" s="5">
        <f t="shared" si="5"/>
        <v>85766</v>
      </c>
      <c r="AC13" s="5">
        <f t="shared" si="5"/>
        <v>109230</v>
      </c>
    </row>
    <row r="14" spans="1:40" s="4" customFormat="1" x14ac:dyDescent="0.2">
      <c r="A14" s="2" t="s">
        <v>10</v>
      </c>
      <c r="B14" s="4">
        <f t="shared" ref="B14:G14" si="6">B7-B13</f>
        <v>-182</v>
      </c>
      <c r="C14" s="4">
        <f t="shared" si="6"/>
        <v>2599</v>
      </c>
      <c r="D14" s="4">
        <f t="shared" si="6"/>
        <v>290</v>
      </c>
      <c r="E14" s="4">
        <f t="shared" si="6"/>
        <v>-371</v>
      </c>
      <c r="F14" s="4">
        <f t="shared" si="6"/>
        <v>1919</v>
      </c>
      <c r="G14" s="4">
        <f t="shared" si="6"/>
        <v>6726</v>
      </c>
      <c r="H14" s="4">
        <f t="shared" ref="H14:O14" si="7">H7-H13</f>
        <v>6572</v>
      </c>
      <c r="I14" s="4">
        <f t="shared" si="7"/>
        <v>10779</v>
      </c>
      <c r="J14" s="4">
        <f t="shared" si="7"/>
        <v>12516</v>
      </c>
      <c r="K14" s="4">
        <f t="shared" si="7"/>
        <v>15174</v>
      </c>
      <c r="L14" s="4">
        <f t="shared" si="7"/>
        <v>31520</v>
      </c>
      <c r="M14" s="4">
        <f t="shared" si="7"/>
        <v>36226</v>
      </c>
      <c r="N14" s="4">
        <f t="shared" si="7"/>
        <v>13608</v>
      </c>
      <c r="O14" s="4">
        <f t="shared" si="7"/>
        <v>28251</v>
      </c>
      <c r="U14" s="4">
        <f t="shared" ref="U14:AC14" si="8">+U7-U13</f>
        <v>1340</v>
      </c>
      <c r="V14" s="4">
        <f t="shared" si="8"/>
        <v>1607</v>
      </c>
      <c r="W14" s="4">
        <f t="shared" si="8"/>
        <v>2417</v>
      </c>
      <c r="X14" s="4">
        <f t="shared" si="8"/>
        <v>-81</v>
      </c>
      <c r="Y14" s="4">
        <f t="shared" si="8"/>
        <v>8645</v>
      </c>
      <c r="Z14" s="4">
        <f t="shared" si="8"/>
        <v>17351</v>
      </c>
      <c r="AA14" s="4">
        <f t="shared" si="8"/>
        <v>27690</v>
      </c>
      <c r="AB14" s="4">
        <f t="shared" si="8"/>
        <v>67746</v>
      </c>
      <c r="AC14" s="4">
        <f t="shared" si="8"/>
        <v>41859</v>
      </c>
    </row>
    <row r="15" spans="1:40" x14ac:dyDescent="0.2">
      <c r="A15" t="s">
        <v>11</v>
      </c>
      <c r="B15" s="5">
        <v>0</v>
      </c>
      <c r="C15">
        <v>0</v>
      </c>
      <c r="D15" s="5">
        <v>71</v>
      </c>
      <c r="E15" s="5">
        <f>+X15-D15</f>
        <v>-4</v>
      </c>
      <c r="F15" s="5">
        <v>8</v>
      </c>
      <c r="G15" s="5">
        <f>+Y15-F15</f>
        <v>1</v>
      </c>
      <c r="H15" s="5">
        <v>3</v>
      </c>
      <c r="I15" s="5">
        <f>+Z15-H15</f>
        <v>2</v>
      </c>
      <c r="J15" s="5">
        <v>1</v>
      </c>
      <c r="K15" s="5">
        <f>+AA15-J15</f>
        <v>3</v>
      </c>
      <c r="L15" s="5">
        <v>14</v>
      </c>
      <c r="M15" s="5">
        <f>+AB15-L15</f>
        <v>-11</v>
      </c>
      <c r="N15" s="5">
        <v>3</v>
      </c>
      <c r="O15" s="5">
        <f>+AC15-N15</f>
        <v>18</v>
      </c>
      <c r="U15" s="5">
        <v>0</v>
      </c>
      <c r="V15" s="5">
        <v>0</v>
      </c>
      <c r="W15" s="5">
        <v>0</v>
      </c>
      <c r="X15" s="5">
        <v>67</v>
      </c>
      <c r="Y15" s="5">
        <v>9</v>
      </c>
      <c r="Z15" s="5">
        <v>5</v>
      </c>
      <c r="AA15" s="5">
        <v>4</v>
      </c>
      <c r="AB15" s="5">
        <v>3</v>
      </c>
      <c r="AC15" s="5">
        <v>21</v>
      </c>
    </row>
    <row r="16" spans="1:40" x14ac:dyDescent="0.2">
      <c r="A16" t="s">
        <v>12</v>
      </c>
      <c r="B16" s="5">
        <v>-49</v>
      </c>
      <c r="C16" s="5">
        <f>-128-B16</f>
        <v>-79</v>
      </c>
      <c r="D16" s="5">
        <v>-75</v>
      </c>
      <c r="E16" s="5">
        <f>+X16-D16</f>
        <v>-189</v>
      </c>
      <c r="F16" s="5">
        <v>-414</v>
      </c>
      <c r="G16" s="5">
        <f>+Y16-F16</f>
        <v>-421</v>
      </c>
      <c r="H16" s="5">
        <v>-357</v>
      </c>
      <c r="I16" s="5">
        <f>+Z16-H16</f>
        <v>-421</v>
      </c>
      <c r="J16" s="5">
        <v>-445</v>
      </c>
      <c r="K16" s="5">
        <f>+AA16-J16</f>
        <v>-551</v>
      </c>
      <c r="L16" s="5">
        <v>-471</v>
      </c>
      <c r="M16" s="5">
        <f>+AB16-L16</f>
        <v>-505</v>
      </c>
      <c r="N16" s="5">
        <v>-1081</v>
      </c>
      <c r="O16" s="5">
        <f>+AC16-N16</f>
        <v>-2317</v>
      </c>
      <c r="U16" s="5">
        <v>-43</v>
      </c>
      <c r="V16" s="5">
        <v>-79</v>
      </c>
      <c r="W16" s="5">
        <v>-128</v>
      </c>
      <c r="X16" s="5">
        <v>-264</v>
      </c>
      <c r="Y16" s="5">
        <v>-835</v>
      </c>
      <c r="Z16" s="5">
        <v>-778</v>
      </c>
      <c r="AA16" s="5">
        <v>-996</v>
      </c>
      <c r="AB16" s="5">
        <v>-976</v>
      </c>
      <c r="AC16" s="5">
        <v>-3398</v>
      </c>
    </row>
    <row r="17" spans="1:29" x14ac:dyDescent="0.2">
      <c r="A17" t="s">
        <v>13</v>
      </c>
      <c r="B17" s="5">
        <f t="shared" ref="B17:O17" si="9">+B14+SUM(B15:B16)</f>
        <v>-231</v>
      </c>
      <c r="C17" s="5">
        <f t="shared" si="9"/>
        <v>2520</v>
      </c>
      <c r="D17" s="5">
        <f t="shared" si="9"/>
        <v>286</v>
      </c>
      <c r="E17" s="5">
        <f t="shared" si="9"/>
        <v>-564</v>
      </c>
      <c r="F17" s="5">
        <f t="shared" si="9"/>
        <v>1513</v>
      </c>
      <c r="G17" s="5">
        <f t="shared" si="9"/>
        <v>6306</v>
      </c>
      <c r="H17" s="5">
        <f t="shared" si="9"/>
        <v>6218</v>
      </c>
      <c r="I17" s="5">
        <f t="shared" si="9"/>
        <v>10360</v>
      </c>
      <c r="J17" s="5">
        <f t="shared" si="9"/>
        <v>12072</v>
      </c>
      <c r="K17" s="5">
        <f t="shared" si="9"/>
        <v>14626</v>
      </c>
      <c r="L17" s="5">
        <f t="shared" si="9"/>
        <v>31063</v>
      </c>
      <c r="M17" s="5">
        <f t="shared" si="9"/>
        <v>35710</v>
      </c>
      <c r="N17" s="5">
        <f t="shared" si="9"/>
        <v>12530</v>
      </c>
      <c r="O17" s="5">
        <f t="shared" si="9"/>
        <v>25952</v>
      </c>
      <c r="U17" s="5">
        <f t="shared" ref="U17:AC17" si="10">+U14+SUM(U15:U16)</f>
        <v>1297</v>
      </c>
      <c r="V17" s="5">
        <f t="shared" si="10"/>
        <v>1528</v>
      </c>
      <c r="W17" s="5">
        <f t="shared" si="10"/>
        <v>2289</v>
      </c>
      <c r="X17" s="5">
        <f t="shared" si="10"/>
        <v>-278</v>
      </c>
      <c r="Y17" s="5">
        <f t="shared" si="10"/>
        <v>7819</v>
      </c>
      <c r="Z17" s="5">
        <f t="shared" si="10"/>
        <v>16578</v>
      </c>
      <c r="AA17" s="5">
        <f t="shared" si="10"/>
        <v>26698</v>
      </c>
      <c r="AB17" s="5">
        <f t="shared" si="10"/>
        <v>66773</v>
      </c>
      <c r="AC17" s="5">
        <f t="shared" si="10"/>
        <v>38482</v>
      </c>
    </row>
    <row r="18" spans="1:29" x14ac:dyDescent="0.2">
      <c r="A18" t="s">
        <v>14</v>
      </c>
      <c r="B18" s="5">
        <v>-43</v>
      </c>
      <c r="C18" s="5">
        <f>568-B18</f>
        <v>611</v>
      </c>
      <c r="D18" s="5">
        <v>103</v>
      </c>
      <c r="E18" s="5">
        <f>+X18-D18</f>
        <v>-88</v>
      </c>
      <c r="F18" s="5">
        <v>422</v>
      </c>
      <c r="G18" s="5">
        <f>+Y18-F18</f>
        <v>1772</v>
      </c>
      <c r="H18" s="5">
        <v>1322</v>
      </c>
      <c r="I18" s="5">
        <f>+Z18-H18</f>
        <v>3269</v>
      </c>
      <c r="J18" s="5">
        <v>3134</v>
      </c>
      <c r="K18" s="5">
        <f>+AA18-J18</f>
        <v>2114</v>
      </c>
      <c r="L18" s="5">
        <v>6511</v>
      </c>
      <c r="M18" s="5">
        <f>+AB18-L18</f>
        <v>7215</v>
      </c>
      <c r="N18" s="5">
        <v>3150</v>
      </c>
      <c r="O18" s="5">
        <f>+AC18-N18</f>
        <v>5648</v>
      </c>
      <c r="U18" s="5">
        <v>313</v>
      </c>
      <c r="V18" s="5">
        <v>393</v>
      </c>
      <c r="W18" s="5">
        <v>568</v>
      </c>
      <c r="X18" s="5">
        <v>15</v>
      </c>
      <c r="Y18" s="5">
        <v>2194</v>
      </c>
      <c r="Z18" s="5">
        <v>4591</v>
      </c>
      <c r="AA18" s="5">
        <v>5248</v>
      </c>
      <c r="AB18" s="5">
        <v>13726</v>
      </c>
      <c r="AC18" s="5">
        <v>8798</v>
      </c>
    </row>
    <row r="19" spans="1:29" s="4" customFormat="1" x14ac:dyDescent="0.2">
      <c r="A19" s="2" t="s">
        <v>15</v>
      </c>
      <c r="B19" s="4">
        <f t="shared" ref="B19:O19" si="11">+B17-B18</f>
        <v>-188</v>
      </c>
      <c r="C19" s="4">
        <f t="shared" si="11"/>
        <v>1909</v>
      </c>
      <c r="D19" s="4">
        <f t="shared" si="11"/>
        <v>183</v>
      </c>
      <c r="E19" s="4">
        <f t="shared" si="11"/>
        <v>-476</v>
      </c>
      <c r="F19" s="4">
        <f t="shared" si="11"/>
        <v>1091</v>
      </c>
      <c r="G19" s="4">
        <f t="shared" si="11"/>
        <v>4534</v>
      </c>
      <c r="H19" s="4">
        <f t="shared" si="11"/>
        <v>4896</v>
      </c>
      <c r="I19" s="4">
        <f t="shared" si="11"/>
        <v>7091</v>
      </c>
      <c r="J19" s="4">
        <f t="shared" si="11"/>
        <v>8938</v>
      </c>
      <c r="K19" s="4">
        <f t="shared" si="11"/>
        <v>12512</v>
      </c>
      <c r="L19" s="4">
        <f t="shared" si="11"/>
        <v>24552</v>
      </c>
      <c r="M19" s="4">
        <f t="shared" si="11"/>
        <v>28495</v>
      </c>
      <c r="N19" s="4">
        <f t="shared" si="11"/>
        <v>9380</v>
      </c>
      <c r="O19" s="4">
        <f t="shared" si="11"/>
        <v>20304</v>
      </c>
      <c r="U19" s="4">
        <f t="shared" ref="U19:AC19" si="12">+U17-U18</f>
        <v>984</v>
      </c>
      <c r="V19" s="4">
        <f t="shared" si="12"/>
        <v>1135</v>
      </c>
      <c r="W19" s="4">
        <f t="shared" si="12"/>
        <v>1721</v>
      </c>
      <c r="X19" s="4">
        <f t="shared" si="12"/>
        <v>-293</v>
      </c>
      <c r="Y19" s="4">
        <f t="shared" si="12"/>
        <v>5625</v>
      </c>
      <c r="Z19" s="4">
        <f t="shared" si="12"/>
        <v>11987</v>
      </c>
      <c r="AA19" s="4">
        <f t="shared" si="12"/>
        <v>21450</v>
      </c>
      <c r="AB19" s="4">
        <f t="shared" si="12"/>
        <v>53047</v>
      </c>
      <c r="AC19" s="4">
        <f t="shared" si="12"/>
        <v>29684</v>
      </c>
    </row>
    <row r="20" spans="1:29" s="6" customFormat="1" x14ac:dyDescent="0.2">
      <c r="A20" s="6" t="s">
        <v>16</v>
      </c>
      <c r="B20" s="6">
        <f t="shared" ref="B20:O20" si="13">+B19/B21</f>
        <v>-9.4000000000000004E-3</v>
      </c>
      <c r="C20" s="6">
        <f t="shared" si="13"/>
        <v>9.5449999999999993E-2</v>
      </c>
      <c r="D20" s="6">
        <f t="shared" si="13"/>
        <v>9.1500000000000001E-3</v>
      </c>
      <c r="E20" s="6">
        <f t="shared" si="13"/>
        <v>-2.3800000000000002E-2</v>
      </c>
      <c r="F20" s="6">
        <f t="shared" si="13"/>
        <v>5.4539024021415687E-2</v>
      </c>
      <c r="G20" s="6">
        <f t="shared" si="13"/>
        <v>0.2265864348788387</v>
      </c>
      <c r="H20" s="6">
        <f t="shared" si="13"/>
        <v>0.2433847904589185</v>
      </c>
      <c r="I20" s="6">
        <f t="shared" si="13"/>
        <v>0.33844189199470137</v>
      </c>
      <c r="J20" s="6">
        <f t="shared" si="13"/>
        <v>0.41058312220397047</v>
      </c>
      <c r="K20" s="6">
        <f t="shared" si="13"/>
        <v>0.57460490631395822</v>
      </c>
      <c r="L20" s="6">
        <f t="shared" si="13"/>
        <v>1.1271728963949887</v>
      </c>
      <c r="M20" s="6">
        <f t="shared" si="13"/>
        <v>1.307946817721098</v>
      </c>
      <c r="N20" s="6">
        <f t="shared" si="13"/>
        <v>0.43098556474041849</v>
      </c>
      <c r="O20" s="6">
        <f t="shared" si="13"/>
        <v>0.9325207946763644</v>
      </c>
      <c r="U20" s="6">
        <f t="shared" ref="U20:AC20" si="14">+U19/U21</f>
        <v>4.9200000000000001E-2</v>
      </c>
      <c r="V20" s="6">
        <f t="shared" si="14"/>
        <v>5.6750000000000002E-2</v>
      </c>
      <c r="W20" s="6">
        <f t="shared" si="14"/>
        <v>8.6050000000000001E-2</v>
      </c>
      <c r="X20" s="6">
        <f t="shared" si="14"/>
        <v>-1.465E-2</v>
      </c>
      <c r="Y20" s="6">
        <f t="shared" si="14"/>
        <v>0.28110910811501272</v>
      </c>
      <c r="Z20" s="6">
        <f t="shared" si="14"/>
        <v>0.57212000554794606</v>
      </c>
      <c r="AA20" s="6">
        <f t="shared" si="14"/>
        <v>0.98507634594264737</v>
      </c>
      <c r="AB20" s="6">
        <f t="shared" si="14"/>
        <v>2.4349062937234986</v>
      </c>
      <c r="AC20" s="6">
        <f t="shared" si="14"/>
        <v>1.3633248261019109</v>
      </c>
    </row>
    <row r="21" spans="1:29" x14ac:dyDescent="0.2">
      <c r="A21" t="s">
        <v>17</v>
      </c>
      <c r="B21" s="5">
        <f>+U21</f>
        <v>20000</v>
      </c>
      <c r="C21" s="5">
        <f>+V21</f>
        <v>20000</v>
      </c>
      <c r="D21" s="5">
        <f>+W21</f>
        <v>20000</v>
      </c>
      <c r="E21" s="5">
        <f>+X21</f>
        <v>20000</v>
      </c>
      <c r="F21" s="5">
        <v>20004.025000000001</v>
      </c>
      <c r="G21" s="5">
        <f>+Y21</f>
        <v>20010.024000000001</v>
      </c>
      <c r="H21" s="5">
        <v>20116.294000000002</v>
      </c>
      <c r="I21" s="5">
        <f>+Z21</f>
        <v>20951.898000000001</v>
      </c>
      <c r="J21" s="5">
        <v>21769.039000000001</v>
      </c>
      <c r="K21" s="5">
        <f>+AA21</f>
        <v>21774.962</v>
      </c>
      <c r="L21" s="5">
        <v>21781.929</v>
      </c>
      <c r="M21" s="5">
        <f>+AB21</f>
        <v>21786.054</v>
      </c>
      <c r="N21" s="5">
        <v>21764.07</v>
      </c>
      <c r="O21" s="5">
        <f>+AC21</f>
        <v>21773.241000000002</v>
      </c>
      <c r="U21" s="5">
        <v>20000</v>
      </c>
      <c r="V21" s="5">
        <v>20000</v>
      </c>
      <c r="W21" s="5">
        <v>20000</v>
      </c>
      <c r="X21" s="5">
        <v>20000</v>
      </c>
      <c r="Y21" s="5">
        <v>20010.024000000001</v>
      </c>
      <c r="Z21" s="5">
        <v>20951.898000000001</v>
      </c>
      <c r="AA21" s="5">
        <v>21774.962</v>
      </c>
      <c r="AB21" s="5">
        <v>21786.054</v>
      </c>
      <c r="AC21" s="5">
        <v>21773.241000000002</v>
      </c>
    </row>
    <row r="22" spans="1:29" x14ac:dyDescent="0.2">
      <c r="B22" s="5"/>
    </row>
    <row r="23" spans="1:29" s="7" customFormat="1" x14ac:dyDescent="0.2">
      <c r="A23" s="7" t="s">
        <v>77</v>
      </c>
      <c r="B23" s="7">
        <f>+B7/B4</f>
        <v>0.28309499983860037</v>
      </c>
      <c r="C23" s="7">
        <f>+C7/C4</f>
        <v>0.29660723758562629</v>
      </c>
      <c r="D23" s="7">
        <f>+D7/D4</f>
        <v>0.30578512396694213</v>
      </c>
      <c r="E23" s="7">
        <f t="shared" ref="E23:N23" si="15">+E7/E4</f>
        <v>0.29032099089923447</v>
      </c>
      <c r="F23" s="7">
        <f t="shared" si="15"/>
        <v>0.36142014909616538</v>
      </c>
      <c r="G23" s="7">
        <f t="shared" si="15"/>
        <v>0.3433417485722689</v>
      </c>
      <c r="H23" s="7">
        <f t="shared" si="15"/>
        <v>0.35471121591550697</v>
      </c>
      <c r="I23" s="7">
        <f t="shared" si="15"/>
        <v>0.3778665018290891</v>
      </c>
      <c r="J23" s="7">
        <f t="shared" si="15"/>
        <v>0.36430707876370888</v>
      </c>
      <c r="K23" s="7">
        <f t="shared" si="15"/>
        <v>0.35565828457427012</v>
      </c>
      <c r="L23" s="7">
        <f t="shared" si="15"/>
        <v>0.35326888176364407</v>
      </c>
      <c r="M23" s="7">
        <f t="shared" si="15"/>
        <v>0.34523591085014954</v>
      </c>
      <c r="N23" s="7">
        <f t="shared" si="15"/>
        <v>0.3049772704945119</v>
      </c>
      <c r="O23" s="7">
        <f t="shared" ref="O23" si="16">+O7/O4</f>
        <v>0.29512117744769889</v>
      </c>
      <c r="U23" s="7">
        <f>+U7/U4</f>
        <v>0.26661786816491256</v>
      </c>
      <c r="V23" s="7">
        <f>+V7/V4</f>
        <v>0.27655147752023668</v>
      </c>
      <c r="W23" s="7">
        <f>+W7/W4</f>
        <v>0.29097610848041328</v>
      </c>
      <c r="X23" s="7">
        <f>+X7/X4</f>
        <v>0.29654637708184073</v>
      </c>
      <c r="Y23" s="7">
        <f t="shared" ref="Y23:AB23" si="17">+Y7/Y4</f>
        <v>0.35111651265287874</v>
      </c>
      <c r="Z23" s="7">
        <f t="shared" si="17"/>
        <v>0.3668006983757473</v>
      </c>
      <c r="AA23" s="7">
        <f t="shared" si="17"/>
        <v>0.35965379547338783</v>
      </c>
      <c r="AB23" s="7">
        <f t="shared" si="17"/>
        <v>0.34898926060980823</v>
      </c>
      <c r="AC23" s="7">
        <f t="shared" ref="AC23" si="18">+AC7/AC4</f>
        <v>0.29949631003990274</v>
      </c>
    </row>
    <row r="24" spans="1:29" s="7" customFormat="1" x14ac:dyDescent="0.2">
      <c r="A24" s="7" t="s">
        <v>72</v>
      </c>
      <c r="B24" s="7">
        <f t="shared" ref="B24:O24" si="19">+B14/B4</f>
        <v>-5.8749475451112046E-3</v>
      </c>
      <c r="C24" s="7">
        <f t="shared" si="19"/>
        <v>5.9944184330096642E-2</v>
      </c>
      <c r="D24" s="7">
        <f t="shared" si="19"/>
        <v>7.0698944391623395E-3</v>
      </c>
      <c r="E24" s="7">
        <f t="shared" si="19"/>
        <v>-6.0945559680651842E-3</v>
      </c>
      <c r="F24" s="7">
        <f t="shared" si="19"/>
        <v>3.1167270305825796E-2</v>
      </c>
      <c r="G24" s="7">
        <f t="shared" si="19"/>
        <v>8.2428490894384671E-2</v>
      </c>
      <c r="H24" s="7">
        <f t="shared" si="19"/>
        <v>7.2757868632856174E-2</v>
      </c>
      <c r="I24" s="7">
        <f t="shared" si="19"/>
        <v>0.10922853987008907</v>
      </c>
      <c r="J24" s="7">
        <f t="shared" si="19"/>
        <v>0.10850925484416317</v>
      </c>
      <c r="K24" s="7">
        <f t="shared" si="19"/>
        <v>0.1129572557952566</v>
      </c>
      <c r="L24" s="7">
        <f t="shared" si="19"/>
        <v>0.15336035304020357</v>
      </c>
      <c r="M24" s="7">
        <f t="shared" si="19"/>
        <v>0.15458273415063986</v>
      </c>
      <c r="N24" s="7">
        <f t="shared" si="19"/>
        <v>6.0766819387509045E-2</v>
      </c>
      <c r="O24" s="7">
        <f t="shared" si="19"/>
        <v>0.10070257611241218</v>
      </c>
      <c r="U24" s="7">
        <f t="shared" ref="U24:AC24" si="20">+U14/U4</f>
        <v>2.650945635831289E-2</v>
      </c>
      <c r="V24" s="7">
        <f t="shared" si="20"/>
        <v>2.6120737297227008E-2</v>
      </c>
      <c r="W24" s="7">
        <f t="shared" si="20"/>
        <v>3.2514528626775722E-2</v>
      </c>
      <c r="X24" s="7">
        <f t="shared" si="20"/>
        <v>-7.9495156683972404E-4</v>
      </c>
      <c r="Y24" s="7">
        <f t="shared" si="20"/>
        <v>6.0383183510396801E-2</v>
      </c>
      <c r="Z24" s="7">
        <f t="shared" si="20"/>
        <v>9.1799375694407701E-2</v>
      </c>
      <c r="AA24" s="7">
        <f t="shared" si="20"/>
        <v>0.11090239867990499</v>
      </c>
      <c r="AB24" s="7">
        <f t="shared" si="20"/>
        <v>0.15401158508306886</v>
      </c>
      <c r="AC24" s="7">
        <f t="shared" si="20"/>
        <v>8.2975041478600617E-2</v>
      </c>
    </row>
    <row r="25" spans="1:29" s="7" customFormat="1" x14ac:dyDescent="0.2">
      <c r="A25" s="7" t="s">
        <v>73</v>
      </c>
      <c r="B25" s="7">
        <f t="shared" ref="B25:O25" si="21">+B19/B4</f>
        <v>-6.0686271345104749E-3</v>
      </c>
      <c r="C25" s="7">
        <f t="shared" si="21"/>
        <v>4.4029799109717001E-2</v>
      </c>
      <c r="D25" s="7">
        <f t="shared" si="21"/>
        <v>4.4613471805748555E-3</v>
      </c>
      <c r="E25" s="7">
        <f t="shared" si="21"/>
        <v>-7.8194302986496697E-3</v>
      </c>
      <c r="F25" s="7">
        <f t="shared" si="21"/>
        <v>1.7719380877361097E-2</v>
      </c>
      <c r="G25" s="7">
        <f t="shared" si="21"/>
        <v>5.5565087379592634E-2</v>
      </c>
      <c r="H25" s="7">
        <f t="shared" si="21"/>
        <v>5.4203062207313427E-2</v>
      </c>
      <c r="I25" s="7">
        <f t="shared" si="21"/>
        <v>7.1856348104536755E-2</v>
      </c>
      <c r="J25" s="7">
        <f t="shared" si="21"/>
        <v>7.7489271316485323E-2</v>
      </c>
      <c r="K25" s="7">
        <f t="shared" si="21"/>
        <v>9.314097696785624E-2</v>
      </c>
      <c r="L25" s="7">
        <f t="shared" si="21"/>
        <v>0.11945759479197583</v>
      </c>
      <c r="M25" s="7">
        <f t="shared" si="21"/>
        <v>0.12159319300012375</v>
      </c>
      <c r="N25" s="7">
        <f t="shared" si="21"/>
        <v>4.1886593610731541E-2</v>
      </c>
      <c r="O25" s="7">
        <f t="shared" si="21"/>
        <v>7.2374963908761344E-2</v>
      </c>
      <c r="U25" s="7">
        <f t="shared" ref="U25:AC25" si="22">+U19/U4</f>
        <v>1.9466645564611855E-2</v>
      </c>
      <c r="V25" s="7">
        <f t="shared" si="22"/>
        <v>1.8448685023243719E-2</v>
      </c>
      <c r="W25" s="7">
        <f t="shared" si="22"/>
        <v>2.3151635815755488E-2</v>
      </c>
      <c r="X25" s="7">
        <f t="shared" si="22"/>
        <v>-2.8755655442473968E-3</v>
      </c>
      <c r="Y25" s="7">
        <f t="shared" si="22"/>
        <v>3.9289231607401047E-2</v>
      </c>
      <c r="Z25" s="7">
        <f t="shared" si="22"/>
        <v>6.3419924871699909E-2</v>
      </c>
      <c r="AA25" s="7">
        <f t="shared" si="22"/>
        <v>8.5910308836546129E-2</v>
      </c>
      <c r="AB25" s="7">
        <f t="shared" si="22"/>
        <v>0.12059534959852322</v>
      </c>
      <c r="AC25" s="7">
        <f t="shared" si="22"/>
        <v>5.8841136464100448E-2</v>
      </c>
    </row>
    <row r="26" spans="1:29" s="7" customFormat="1" x14ac:dyDescent="0.2">
      <c r="A26" s="7" t="s">
        <v>74</v>
      </c>
      <c r="B26" s="7">
        <f t="shared" ref="B26:C26" si="23">+B18/B17</f>
        <v>0.18614718614718614</v>
      </c>
      <c r="C26" s="7">
        <f t="shared" si="23"/>
        <v>0.24246031746031746</v>
      </c>
      <c r="D26" s="7">
        <f t="shared" ref="D26:E26" si="24">+D18/D17</f>
        <v>0.36013986013986016</v>
      </c>
      <c r="E26" s="7">
        <f t="shared" si="24"/>
        <v>0.15602836879432624</v>
      </c>
      <c r="F26" s="7">
        <f t="shared" ref="F26:O26" si="25">+F18/F17</f>
        <v>0.27891606080634501</v>
      </c>
      <c r="G26" s="7">
        <f t="shared" si="25"/>
        <v>0.28100222010783382</v>
      </c>
      <c r="H26" s="7">
        <f t="shared" si="25"/>
        <v>0.21260855580572532</v>
      </c>
      <c r="I26" s="7">
        <f t="shared" si="25"/>
        <v>0.31554054054054054</v>
      </c>
      <c r="J26" s="7">
        <f t="shared" si="25"/>
        <v>0.25960901259111996</v>
      </c>
      <c r="K26" s="7">
        <f t="shared" si="25"/>
        <v>0.14453712566662108</v>
      </c>
      <c r="L26" s="7">
        <f t="shared" si="25"/>
        <v>0.20960628400347681</v>
      </c>
      <c r="M26" s="7">
        <f t="shared" si="25"/>
        <v>0.20204424530943713</v>
      </c>
      <c r="N26" s="7">
        <f t="shared" si="25"/>
        <v>0.25139664804469275</v>
      </c>
      <c r="O26" s="7">
        <f t="shared" si="25"/>
        <v>0.21763255240443896</v>
      </c>
      <c r="U26" s="7">
        <f t="shared" ref="U26" si="26">+U18/U17</f>
        <v>0.24132613723978411</v>
      </c>
      <c r="V26" s="7">
        <f t="shared" ref="V26:W26" si="27">+V18/V17</f>
        <v>0.25719895287958117</v>
      </c>
      <c r="W26" s="7">
        <f t="shared" si="27"/>
        <v>0.24814329401485366</v>
      </c>
      <c r="X26" s="7">
        <f t="shared" ref="X26:Y26" si="28">+X18/X17</f>
        <v>-5.3956834532374098E-2</v>
      </c>
      <c r="Y26" s="7">
        <f t="shared" si="28"/>
        <v>0.28059854201304513</v>
      </c>
      <c r="Z26" s="7">
        <f t="shared" ref="Z26:AA26" si="29">+Z18/Z17</f>
        <v>0.27693328507660753</v>
      </c>
      <c r="AA26" s="7">
        <f t="shared" si="29"/>
        <v>0.19656903138811896</v>
      </c>
      <c r="AB26" s="7">
        <f t="shared" ref="AB26:AC26" si="30">+AB18/AB17</f>
        <v>0.20556212840519372</v>
      </c>
      <c r="AC26" s="7">
        <f t="shared" si="30"/>
        <v>0.22862637077074996</v>
      </c>
    </row>
    <row r="27" spans="1:29" s="7" customFormat="1" x14ac:dyDescent="0.2"/>
    <row r="28" spans="1:29" s="7" customFormat="1" x14ac:dyDescent="0.2">
      <c r="A28" s="7" t="s">
        <v>75</v>
      </c>
      <c r="F28" s="7">
        <f t="shared" ref="F28:O28" si="31">+F4/D4-1</f>
        <v>0.50103610521953246</v>
      </c>
      <c r="G28" s="7">
        <f t="shared" si="31"/>
        <v>0.34044091073364657</v>
      </c>
      <c r="H28" s="7">
        <f t="shared" si="31"/>
        <v>0.46703805362914363</v>
      </c>
      <c r="I28" s="7">
        <f t="shared" si="31"/>
        <v>0.20938013186597715</v>
      </c>
      <c r="J28" s="7">
        <f t="shared" si="31"/>
        <v>0.27697144818271391</v>
      </c>
      <c r="K28" s="7">
        <f t="shared" si="31"/>
        <v>0.36126789821955141</v>
      </c>
      <c r="L28" s="7">
        <f t="shared" si="31"/>
        <v>0.78186310633317446</v>
      </c>
      <c r="M28" s="7">
        <f t="shared" si="31"/>
        <v>0.74450995280420451</v>
      </c>
      <c r="N28" s="7">
        <f t="shared" si="31"/>
        <v>8.9568868626811682E-2</v>
      </c>
      <c r="O28" s="7">
        <f t="shared" si="31"/>
        <v>0.19710941467140608</v>
      </c>
      <c r="V28" s="7">
        <f t="shared" ref="V28:W28" si="32">+V4/U4-1</f>
        <v>0.21710057766875046</v>
      </c>
      <c r="W28" s="7">
        <f t="shared" si="32"/>
        <v>0.20828321576021591</v>
      </c>
      <c r="X28" s="7">
        <f t="shared" ref="X28:AC28" si="33">+X4/W4-1</f>
        <v>0.37070867412828234</v>
      </c>
      <c r="Y28" s="7">
        <f t="shared" si="33"/>
        <v>0.40509161571452412</v>
      </c>
      <c r="Z28" s="7">
        <f t="shared" si="33"/>
        <v>0.32018802953153269</v>
      </c>
      <c r="AA28" s="7">
        <f t="shared" si="33"/>
        <v>0.32098301677159946</v>
      </c>
      <c r="AB28" s="7">
        <f>+AB4/AA4-1</f>
        <v>0.76176610768226394</v>
      </c>
      <c r="AC28" s="7">
        <f t="shared" si="33"/>
        <v>0.1468618428829942</v>
      </c>
    </row>
    <row r="30" spans="1:29" s="4" customFormat="1" x14ac:dyDescent="0.2">
      <c r="A30" s="2" t="s">
        <v>36</v>
      </c>
      <c r="B30" s="2"/>
      <c r="C30" s="4">
        <f t="shared" ref="C30:O30" si="34">+C39-C46</f>
        <v>-1870</v>
      </c>
      <c r="D30" s="4">
        <f t="shared" si="34"/>
        <v>-6323</v>
      </c>
      <c r="E30" s="4">
        <f t="shared" si="34"/>
        <v>-16538</v>
      </c>
      <c r="F30" s="4">
        <f t="shared" si="34"/>
        <v>-17907</v>
      </c>
      <c r="G30" s="4">
        <f t="shared" si="34"/>
        <v>-15987</v>
      </c>
      <c r="H30" s="4">
        <f t="shared" si="34"/>
        <v>17704</v>
      </c>
      <c r="I30" s="4">
        <f t="shared" si="34"/>
        <v>32356</v>
      </c>
      <c r="J30" s="4">
        <f t="shared" si="34"/>
        <v>29208</v>
      </c>
      <c r="K30" s="4">
        <f t="shared" si="34"/>
        <v>28877</v>
      </c>
      <c r="L30" s="4">
        <f t="shared" si="34"/>
        <v>16830</v>
      </c>
      <c r="M30" s="4">
        <f t="shared" si="34"/>
        <v>4437</v>
      </c>
      <c r="N30" s="4">
        <f t="shared" si="34"/>
        <v>-40625</v>
      </c>
      <c r="O30" s="4">
        <f t="shared" si="34"/>
        <v>-48697</v>
      </c>
    </row>
    <row r="31" spans="1:29" x14ac:dyDescent="0.2">
      <c r="A31" t="s">
        <v>18</v>
      </c>
      <c r="C31" s="5">
        <v>4435</v>
      </c>
      <c r="D31" s="5">
        <v>4789</v>
      </c>
      <c r="E31" s="5">
        <v>15005</v>
      </c>
      <c r="F31" s="5">
        <v>15862</v>
      </c>
      <c r="G31" s="5">
        <v>16360</v>
      </c>
      <c r="H31" s="5">
        <v>19613</v>
      </c>
      <c r="I31" s="5">
        <v>24056</v>
      </c>
      <c r="J31" s="5">
        <v>24155</v>
      </c>
      <c r="K31" s="5">
        <v>24955</v>
      </c>
      <c r="L31" s="5">
        <v>28924</v>
      </c>
      <c r="M31" s="5">
        <v>33556</v>
      </c>
      <c r="N31" s="5">
        <v>47016</v>
      </c>
      <c r="O31" s="5">
        <v>52550</v>
      </c>
    </row>
    <row r="32" spans="1:29" x14ac:dyDescent="0.2">
      <c r="A32" t="s">
        <v>19</v>
      </c>
      <c r="C32" s="5">
        <v>3948</v>
      </c>
      <c r="D32" s="5">
        <v>4807</v>
      </c>
      <c r="E32" s="5">
        <v>9165</v>
      </c>
      <c r="F32" s="5">
        <v>10065</v>
      </c>
      <c r="G32" s="5">
        <v>11224</v>
      </c>
      <c r="H32" s="5">
        <v>12420</v>
      </c>
      <c r="I32" s="5">
        <v>13602</v>
      </c>
      <c r="J32" s="5">
        <v>15301</v>
      </c>
      <c r="K32" s="5">
        <v>17848</v>
      </c>
      <c r="L32" s="5">
        <v>20724</v>
      </c>
      <c r="M32" s="5">
        <v>23533</v>
      </c>
      <c r="N32" s="5">
        <v>25582</v>
      </c>
      <c r="O32" s="5">
        <v>28621</v>
      </c>
    </row>
    <row r="33" spans="1:15" x14ac:dyDescent="0.2">
      <c r="A33" t="s">
        <v>20</v>
      </c>
      <c r="C33" s="5">
        <v>424</v>
      </c>
      <c r="D33" s="5">
        <v>486</v>
      </c>
      <c r="E33" s="5">
        <v>59</v>
      </c>
      <c r="F33" s="5">
        <v>70</v>
      </c>
      <c r="G33" s="5">
        <v>36</v>
      </c>
      <c r="H33" s="5">
        <v>163</v>
      </c>
      <c r="I33" s="5">
        <v>11</v>
      </c>
      <c r="J33" s="5">
        <v>75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x14ac:dyDescent="0.2">
      <c r="A34" t="s">
        <v>8</v>
      </c>
      <c r="C34" s="5">
        <v>23</v>
      </c>
      <c r="D34" s="5">
        <v>45</v>
      </c>
      <c r="E34" s="5">
        <v>119</v>
      </c>
      <c r="F34" s="5">
        <v>111</v>
      </c>
      <c r="G34" s="5">
        <v>112</v>
      </c>
      <c r="H34" s="5">
        <v>125</v>
      </c>
      <c r="I34" s="5">
        <v>137</v>
      </c>
      <c r="J34" s="5">
        <v>152</v>
      </c>
      <c r="K34" s="5">
        <v>316</v>
      </c>
      <c r="L34" s="5">
        <v>894</v>
      </c>
      <c r="M34" s="5">
        <v>1589</v>
      </c>
      <c r="N34" s="5">
        <v>13158</v>
      </c>
      <c r="O34" s="5">
        <v>297</v>
      </c>
    </row>
    <row r="35" spans="1:15" x14ac:dyDescent="0.2">
      <c r="A35" t="s">
        <v>22</v>
      </c>
      <c r="C35" s="5">
        <v>3487</v>
      </c>
      <c r="D35" s="5">
        <v>7502</v>
      </c>
      <c r="E35" s="5">
        <v>9517</v>
      </c>
      <c r="F35" s="5">
        <v>15966</v>
      </c>
      <c r="G35" s="5">
        <v>14411</v>
      </c>
      <c r="H35" s="5">
        <v>21803</v>
      </c>
      <c r="I35" s="5">
        <v>19988</v>
      </c>
      <c r="J35" s="5">
        <v>17757</v>
      </c>
      <c r="K35" s="5">
        <v>41582</v>
      </c>
      <c r="L35" s="5">
        <v>64519</v>
      </c>
      <c r="M35" s="5">
        <v>131815</v>
      </c>
      <c r="N35" s="5">
        <v>155411</v>
      </c>
      <c r="O35" s="5">
        <v>150776</v>
      </c>
    </row>
    <row r="36" spans="1:15" x14ac:dyDescent="0.2">
      <c r="A36" t="s">
        <v>23</v>
      </c>
      <c r="C36" s="5">
        <v>17539</v>
      </c>
      <c r="D36" s="5">
        <v>20769</v>
      </c>
      <c r="E36" s="5">
        <v>28749</v>
      </c>
      <c r="F36" s="5">
        <v>31019</v>
      </c>
      <c r="G36" s="5">
        <v>33863</v>
      </c>
      <c r="H36" s="5">
        <v>44552</v>
      </c>
      <c r="I36" s="5">
        <v>36414</v>
      </c>
      <c r="J36" s="5">
        <v>56631</v>
      </c>
      <c r="K36" s="5">
        <v>62197</v>
      </c>
      <c r="L36" s="5">
        <v>106944</v>
      </c>
      <c r="M36" s="5">
        <v>107686</v>
      </c>
      <c r="N36" s="5">
        <v>153671</v>
      </c>
      <c r="O36" s="5">
        <v>135935</v>
      </c>
    </row>
    <row r="37" spans="1:15" x14ac:dyDescent="0.2">
      <c r="A37" t="s">
        <v>8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25717</v>
      </c>
    </row>
    <row r="38" spans="1:15" x14ac:dyDescent="0.2">
      <c r="A38" t="s">
        <v>14</v>
      </c>
      <c r="C38" s="5">
        <v>0</v>
      </c>
      <c r="D38" s="5">
        <v>114</v>
      </c>
      <c r="E38" s="5">
        <v>580</v>
      </c>
      <c r="F38" s="5">
        <v>316</v>
      </c>
      <c r="G38" s="5">
        <v>488</v>
      </c>
      <c r="H38" s="5">
        <v>110</v>
      </c>
      <c r="I38" s="5">
        <v>0</v>
      </c>
      <c r="J38" s="5">
        <v>5</v>
      </c>
      <c r="K38" s="5">
        <v>9</v>
      </c>
      <c r="L38" s="5">
        <v>40</v>
      </c>
      <c r="M38" s="5">
        <v>54</v>
      </c>
      <c r="N38" s="5">
        <v>58</v>
      </c>
      <c r="O38" s="5">
        <v>0</v>
      </c>
    </row>
    <row r="39" spans="1:15" x14ac:dyDescent="0.2">
      <c r="A39" t="s">
        <v>24</v>
      </c>
      <c r="C39" s="5">
        <v>0</v>
      </c>
      <c r="D39" s="5">
        <v>2085</v>
      </c>
      <c r="E39" s="5">
        <v>849</v>
      </c>
      <c r="F39" s="5">
        <v>233</v>
      </c>
      <c r="G39" s="5">
        <v>134</v>
      </c>
      <c r="H39" s="5">
        <v>35756</v>
      </c>
      <c r="I39" s="5">
        <v>52344</v>
      </c>
      <c r="J39" s="5">
        <v>48952</v>
      </c>
      <c r="K39" s="5">
        <v>47277</v>
      </c>
      <c r="L39" s="5">
        <v>35362</v>
      </c>
      <c r="M39" s="5">
        <v>22841</v>
      </c>
      <c r="N39" s="5">
        <v>2915</v>
      </c>
      <c r="O39" s="5">
        <v>2073</v>
      </c>
    </row>
    <row r="40" spans="1:15" s="4" customFormat="1" x14ac:dyDescent="0.2">
      <c r="A40" s="2" t="s">
        <v>25</v>
      </c>
      <c r="B40" s="2"/>
      <c r="C40" s="4">
        <f t="shared" ref="C40:O40" si="35">SUM(C31:C39)</f>
        <v>29856</v>
      </c>
      <c r="D40" s="4">
        <f t="shared" si="35"/>
        <v>40597</v>
      </c>
      <c r="E40" s="4">
        <f t="shared" si="35"/>
        <v>64043</v>
      </c>
      <c r="F40" s="4">
        <f t="shared" si="35"/>
        <v>73642</v>
      </c>
      <c r="G40" s="4">
        <f t="shared" si="35"/>
        <v>76628</v>
      </c>
      <c r="H40" s="4">
        <f t="shared" si="35"/>
        <v>134542</v>
      </c>
      <c r="I40" s="4">
        <f t="shared" si="35"/>
        <v>146552</v>
      </c>
      <c r="J40" s="4">
        <f t="shared" si="35"/>
        <v>163028</v>
      </c>
      <c r="K40" s="4">
        <f t="shared" si="35"/>
        <v>194184</v>
      </c>
      <c r="L40" s="4">
        <f t="shared" si="35"/>
        <v>257407</v>
      </c>
      <c r="M40" s="4">
        <f t="shared" si="35"/>
        <v>321074</v>
      </c>
      <c r="N40" s="4">
        <f t="shared" si="35"/>
        <v>397811</v>
      </c>
      <c r="O40" s="4">
        <f t="shared" si="35"/>
        <v>395969</v>
      </c>
    </row>
    <row r="41" spans="1:15" x14ac:dyDescent="0.2">
      <c r="A41" t="s">
        <v>26</v>
      </c>
      <c r="C41" s="5">
        <v>18</v>
      </c>
      <c r="D41" s="5">
        <v>2000</v>
      </c>
      <c r="E41" s="5">
        <v>2000</v>
      </c>
      <c r="F41" s="5">
        <v>2000</v>
      </c>
      <c r="G41" s="5">
        <v>2000</v>
      </c>
      <c r="H41" s="5">
        <v>2175</v>
      </c>
      <c r="I41" s="5">
        <v>2175</v>
      </c>
      <c r="J41" s="5">
        <v>2175</v>
      </c>
      <c r="K41" s="5">
        <v>2175</v>
      </c>
      <c r="L41" s="5">
        <v>2175</v>
      </c>
      <c r="M41" s="5">
        <v>2175</v>
      </c>
      <c r="N41" s="5">
        <v>2175</v>
      </c>
      <c r="O41" s="5">
        <v>2175</v>
      </c>
    </row>
    <row r="42" spans="1:15" x14ac:dyDescent="0.2">
      <c r="A42" t="s">
        <v>27</v>
      </c>
      <c r="C42" s="5">
        <v>3895</v>
      </c>
      <c r="D42" s="5">
        <v>1913</v>
      </c>
      <c r="E42" s="5">
        <v>1913</v>
      </c>
      <c r="F42" s="5">
        <v>1913</v>
      </c>
      <c r="G42" s="5">
        <v>1913</v>
      </c>
      <c r="H42" s="5">
        <v>50157</v>
      </c>
      <c r="I42" s="5">
        <v>50429</v>
      </c>
      <c r="J42" s="5">
        <v>50429</v>
      </c>
      <c r="K42" s="5">
        <v>50429</v>
      </c>
      <c r="L42" s="5">
        <v>50683</v>
      </c>
      <c r="M42" s="5">
        <v>50651</v>
      </c>
      <c r="N42" s="5">
        <v>48943</v>
      </c>
      <c r="O42" s="5">
        <v>48943</v>
      </c>
    </row>
    <row r="43" spans="1:15" x14ac:dyDescent="0.2">
      <c r="A43" t="s">
        <v>28</v>
      </c>
      <c r="C43" s="5">
        <v>1172</v>
      </c>
      <c r="D43" s="5">
        <v>3035</v>
      </c>
      <c r="E43" s="5">
        <v>3285</v>
      </c>
      <c r="F43" s="5">
        <v>3279</v>
      </c>
      <c r="G43" s="5">
        <v>3510</v>
      </c>
      <c r="H43" s="5">
        <v>9472</v>
      </c>
      <c r="I43" s="5">
        <v>9637</v>
      </c>
      <c r="J43" s="5">
        <v>21895</v>
      </c>
      <c r="K43" s="5">
        <v>22265</v>
      </c>
      <c r="L43" s="5">
        <v>44115</v>
      </c>
      <c r="M43" s="5">
        <v>44710</v>
      </c>
      <c r="N43" s="5">
        <v>98457</v>
      </c>
      <c r="O43" s="5">
        <v>98811</v>
      </c>
    </row>
    <row r="44" spans="1:15" x14ac:dyDescent="0.2">
      <c r="A44" t="s">
        <v>29</v>
      </c>
      <c r="C44" s="5">
        <v>1721</v>
      </c>
      <c r="D44" s="5">
        <v>183</v>
      </c>
      <c r="E44" s="5">
        <v>-263</v>
      </c>
      <c r="F44" s="5">
        <v>1091</v>
      </c>
      <c r="G44" s="5">
        <v>5625</v>
      </c>
      <c r="H44" s="5">
        <v>4896</v>
      </c>
      <c r="I44" s="5">
        <v>11987</v>
      </c>
      <c r="J44" s="5">
        <v>9024</v>
      </c>
      <c r="K44" s="5">
        <v>21450</v>
      </c>
      <c r="L44" s="5">
        <v>24552</v>
      </c>
      <c r="M44" s="5">
        <v>53047</v>
      </c>
      <c r="N44" s="5">
        <v>9380</v>
      </c>
      <c r="O44" s="5">
        <v>29684</v>
      </c>
    </row>
    <row r="45" spans="1:15" s="4" customFormat="1" x14ac:dyDescent="0.2">
      <c r="A45" s="2" t="s">
        <v>78</v>
      </c>
      <c r="B45" s="2"/>
      <c r="C45" s="4">
        <f t="shared" ref="C45:O45" si="36">SUM(C41:C44)</f>
        <v>6806</v>
      </c>
      <c r="D45" s="4">
        <f t="shared" si="36"/>
        <v>7131</v>
      </c>
      <c r="E45" s="4">
        <f t="shared" si="36"/>
        <v>6935</v>
      </c>
      <c r="F45" s="4">
        <f t="shared" si="36"/>
        <v>8283</v>
      </c>
      <c r="G45" s="4">
        <f t="shared" si="36"/>
        <v>13048</v>
      </c>
      <c r="H45" s="4">
        <f t="shared" si="36"/>
        <v>66700</v>
      </c>
      <c r="I45" s="4">
        <f t="shared" si="36"/>
        <v>74228</v>
      </c>
      <c r="J45" s="4">
        <f t="shared" si="36"/>
        <v>83523</v>
      </c>
      <c r="K45" s="4">
        <f t="shared" si="36"/>
        <v>96319</v>
      </c>
      <c r="L45" s="4">
        <f t="shared" si="36"/>
        <v>121525</v>
      </c>
      <c r="M45" s="4">
        <f t="shared" si="36"/>
        <v>150583</v>
      </c>
      <c r="N45" s="4">
        <f t="shared" si="36"/>
        <v>158955</v>
      </c>
      <c r="O45" s="4">
        <f t="shared" si="36"/>
        <v>179613</v>
      </c>
    </row>
    <row r="46" spans="1:15" x14ac:dyDescent="0.2">
      <c r="A46" t="s">
        <v>30</v>
      </c>
      <c r="C46" s="5">
        <f>1660+210</f>
        <v>1870</v>
      </c>
      <c r="D46" s="5">
        <f>7360+1048</f>
        <v>8408</v>
      </c>
      <c r="E46" s="5">
        <f>13585+3802</f>
        <v>17387</v>
      </c>
      <c r="F46" s="5">
        <f>13191+4949</f>
        <v>18140</v>
      </c>
      <c r="G46" s="5">
        <f>12414+3707</f>
        <v>16121</v>
      </c>
      <c r="H46" s="5">
        <f>13265+4787</f>
        <v>18052</v>
      </c>
      <c r="I46" s="5">
        <f>15467+4521</f>
        <v>19988</v>
      </c>
      <c r="J46" s="5">
        <f>14243+5501</f>
        <v>19744</v>
      </c>
      <c r="K46" s="5">
        <f>13639+4761</f>
        <v>18400</v>
      </c>
      <c r="L46" s="5">
        <f>13236+5296</f>
        <v>18532</v>
      </c>
      <c r="M46" s="5">
        <f>12793+5611</f>
        <v>18404</v>
      </c>
      <c r="N46" s="5">
        <f>20402+23138</f>
        <v>43540</v>
      </c>
      <c r="O46" s="5">
        <f>18507+32263</f>
        <v>50770</v>
      </c>
    </row>
    <row r="47" spans="1:15" x14ac:dyDescent="0.2">
      <c r="A47" t="s">
        <v>20</v>
      </c>
      <c r="C47" s="5">
        <v>1024</v>
      </c>
      <c r="D47" s="5">
        <v>1239</v>
      </c>
      <c r="E47" s="5">
        <v>1717</v>
      </c>
      <c r="F47" s="5">
        <v>1878</v>
      </c>
      <c r="G47" s="5">
        <v>2189</v>
      </c>
      <c r="H47" s="5">
        <v>2414</v>
      </c>
      <c r="I47" s="5">
        <v>2921</v>
      </c>
      <c r="J47" s="5">
        <v>3268</v>
      </c>
      <c r="K47" s="5">
        <v>4221</v>
      </c>
      <c r="L47" s="5">
        <v>4996</v>
      </c>
      <c r="M47" s="5">
        <v>5742</v>
      </c>
      <c r="N47" s="5">
        <v>6303</v>
      </c>
      <c r="O47" s="5">
        <v>7096</v>
      </c>
    </row>
    <row r="48" spans="1:15" x14ac:dyDescent="0.2">
      <c r="A48" t="s">
        <v>31</v>
      </c>
      <c r="C48" s="5">
        <v>29</v>
      </c>
      <c r="D48" s="5">
        <v>29</v>
      </c>
      <c r="E48" s="5">
        <v>33</v>
      </c>
      <c r="F48" s="5">
        <v>33</v>
      </c>
      <c r="G48" s="5">
        <v>39</v>
      </c>
      <c r="H48" s="5">
        <v>39</v>
      </c>
      <c r="I48" s="5">
        <v>42</v>
      </c>
      <c r="J48" s="5">
        <v>42</v>
      </c>
      <c r="K48" s="5">
        <v>56</v>
      </c>
      <c r="L48" s="5">
        <v>56</v>
      </c>
      <c r="M48" s="5">
        <v>47</v>
      </c>
      <c r="N48" s="5">
        <v>47</v>
      </c>
      <c r="O48" s="5">
        <v>50</v>
      </c>
    </row>
    <row r="49" spans="1:29" x14ac:dyDescent="0.2">
      <c r="A49" t="s">
        <v>32</v>
      </c>
      <c r="C49" s="5">
        <v>18536</v>
      </c>
      <c r="D49" s="5">
        <v>23764</v>
      </c>
      <c r="E49" s="5">
        <v>29905</v>
      </c>
      <c r="F49" s="5">
        <v>33461</v>
      </c>
      <c r="G49" s="5">
        <v>40272</v>
      </c>
      <c r="H49" s="5">
        <v>45244</v>
      </c>
      <c r="I49" s="5">
        <v>45619</v>
      </c>
      <c r="J49" s="5">
        <v>53569</v>
      </c>
      <c r="K49" s="5">
        <v>71384</v>
      </c>
      <c r="L49" s="5">
        <v>106647</v>
      </c>
      <c r="M49" s="5">
        <v>136077</v>
      </c>
      <c r="N49" s="5">
        <v>150316</v>
      </c>
      <c r="O49" s="5">
        <v>148567</v>
      </c>
    </row>
    <row r="50" spans="1:29" x14ac:dyDescent="0.2">
      <c r="A50" t="s">
        <v>14</v>
      </c>
      <c r="C50" s="5">
        <v>255</v>
      </c>
      <c r="D50" s="5">
        <v>0</v>
      </c>
      <c r="E50" s="5">
        <v>73</v>
      </c>
      <c r="F50" s="5">
        <v>73</v>
      </c>
      <c r="G50" s="5">
        <v>1428</v>
      </c>
      <c r="H50" s="5">
        <v>1224</v>
      </c>
      <c r="I50" s="5">
        <v>3309</v>
      </c>
      <c r="J50" s="5">
        <v>2385</v>
      </c>
      <c r="K50" s="5">
        <v>3804</v>
      </c>
      <c r="L50" s="5">
        <v>4713</v>
      </c>
      <c r="M50" s="5">
        <v>10221</v>
      </c>
      <c r="N50" s="5">
        <v>557</v>
      </c>
      <c r="O50" s="5">
        <v>3471</v>
      </c>
    </row>
    <row r="51" spans="1:29" x14ac:dyDescent="0.2">
      <c r="A51" t="s">
        <v>33</v>
      </c>
      <c r="C51" s="5">
        <v>1224</v>
      </c>
      <c r="D51" s="5">
        <v>0</v>
      </c>
      <c r="E51" s="5">
        <v>7924</v>
      </c>
      <c r="F51" s="5">
        <v>11774</v>
      </c>
      <c r="G51" s="5">
        <v>3267</v>
      </c>
      <c r="H51" s="5">
        <v>482</v>
      </c>
      <c r="I51" s="5">
        <v>0</v>
      </c>
      <c r="J51" s="5">
        <v>0</v>
      </c>
      <c r="K51" s="5">
        <v>0</v>
      </c>
      <c r="L51" s="5">
        <v>938</v>
      </c>
      <c r="M51" s="5">
        <v>0</v>
      </c>
      <c r="N51" s="5">
        <v>38093</v>
      </c>
      <c r="O51" s="5">
        <v>6402</v>
      </c>
    </row>
    <row r="52" spans="1:29" x14ac:dyDescent="0.2">
      <c r="A52" t="s">
        <v>34</v>
      </c>
      <c r="C52" s="5">
        <v>112</v>
      </c>
      <c r="D52" s="5">
        <v>26</v>
      </c>
      <c r="E52" s="5">
        <v>69</v>
      </c>
      <c r="F52" s="5">
        <v>0</v>
      </c>
      <c r="G52" s="5">
        <v>264</v>
      </c>
      <c r="H52" s="5">
        <v>387</v>
      </c>
      <c r="I52" s="5">
        <v>445</v>
      </c>
      <c r="J52" s="5">
        <v>497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29" s="4" customFormat="1" x14ac:dyDescent="0.2">
      <c r="A53" s="2" t="s">
        <v>35</v>
      </c>
      <c r="B53" s="2"/>
      <c r="C53" s="4">
        <f t="shared" ref="C53:O53" si="37">SUM(C46:C52)</f>
        <v>23050</v>
      </c>
      <c r="D53" s="4">
        <f t="shared" si="37"/>
        <v>33466</v>
      </c>
      <c r="E53" s="4">
        <f t="shared" si="37"/>
        <v>57108</v>
      </c>
      <c r="F53" s="4">
        <f t="shared" si="37"/>
        <v>65359</v>
      </c>
      <c r="G53" s="4">
        <f t="shared" si="37"/>
        <v>63580</v>
      </c>
      <c r="H53" s="4">
        <f t="shared" si="37"/>
        <v>67842</v>
      </c>
      <c r="I53" s="4">
        <f t="shared" si="37"/>
        <v>72324</v>
      </c>
      <c r="J53" s="4">
        <f t="shared" si="37"/>
        <v>79505</v>
      </c>
      <c r="K53" s="4">
        <f t="shared" si="37"/>
        <v>97865</v>
      </c>
      <c r="L53" s="4">
        <f t="shared" si="37"/>
        <v>135882</v>
      </c>
      <c r="M53" s="4">
        <f t="shared" si="37"/>
        <v>170491</v>
      </c>
      <c r="N53" s="4">
        <f t="shared" si="37"/>
        <v>238856</v>
      </c>
      <c r="O53" s="4">
        <f t="shared" si="37"/>
        <v>216356</v>
      </c>
    </row>
    <row r="54" spans="1:29" x14ac:dyDescent="0.2">
      <c r="A54" t="s">
        <v>79</v>
      </c>
      <c r="C54" s="5">
        <f t="shared" ref="C54:O54" si="38">+C40-C53</f>
        <v>6806</v>
      </c>
      <c r="D54" s="5">
        <f t="shared" si="38"/>
        <v>7131</v>
      </c>
      <c r="E54" s="5">
        <f t="shared" si="38"/>
        <v>6935</v>
      </c>
      <c r="F54" s="5">
        <f t="shared" si="38"/>
        <v>8283</v>
      </c>
      <c r="G54" s="5">
        <f t="shared" si="38"/>
        <v>13048</v>
      </c>
      <c r="H54" s="5">
        <f t="shared" si="38"/>
        <v>66700</v>
      </c>
      <c r="I54" s="5">
        <f t="shared" si="38"/>
        <v>74228</v>
      </c>
      <c r="J54" s="5">
        <f t="shared" si="38"/>
        <v>83523</v>
      </c>
      <c r="K54" s="5">
        <f t="shared" si="38"/>
        <v>96319</v>
      </c>
      <c r="L54" s="5">
        <f t="shared" si="38"/>
        <v>121525</v>
      </c>
      <c r="M54" s="5">
        <f t="shared" si="38"/>
        <v>150583</v>
      </c>
      <c r="N54" s="5">
        <f t="shared" si="38"/>
        <v>158955</v>
      </c>
      <c r="O54" s="5">
        <f t="shared" si="38"/>
        <v>179613</v>
      </c>
    </row>
    <row r="55" spans="1:29" x14ac:dyDescent="0.2">
      <c r="A55" t="s">
        <v>80</v>
      </c>
      <c r="C55" s="5">
        <f t="shared" ref="C55:O55" si="39">+C54+C53</f>
        <v>29856</v>
      </c>
      <c r="D55" s="5">
        <f t="shared" si="39"/>
        <v>40597</v>
      </c>
      <c r="E55" s="5">
        <f t="shared" si="39"/>
        <v>64043</v>
      </c>
      <c r="F55" s="5">
        <f t="shared" si="39"/>
        <v>73642</v>
      </c>
      <c r="G55" s="5">
        <f t="shared" si="39"/>
        <v>76628</v>
      </c>
      <c r="H55" s="5">
        <f t="shared" si="39"/>
        <v>134542</v>
      </c>
      <c r="I55" s="5">
        <f t="shared" si="39"/>
        <v>146552</v>
      </c>
      <c r="J55" s="5">
        <f t="shared" si="39"/>
        <v>163028</v>
      </c>
      <c r="K55" s="5">
        <f t="shared" si="39"/>
        <v>194184</v>
      </c>
      <c r="L55" s="5">
        <f t="shared" si="39"/>
        <v>257407</v>
      </c>
      <c r="M55" s="5">
        <f t="shared" si="39"/>
        <v>321074</v>
      </c>
      <c r="N55" s="5">
        <f t="shared" si="39"/>
        <v>397811</v>
      </c>
      <c r="O55" s="5">
        <f t="shared" si="39"/>
        <v>395969</v>
      </c>
    </row>
    <row r="56" spans="1:29" x14ac:dyDescent="0.2">
      <c r="A56" t="s">
        <v>81</v>
      </c>
      <c r="C56" s="5">
        <f t="shared" ref="C56:O56" si="40">+C54+C45</f>
        <v>13612</v>
      </c>
      <c r="D56" s="5">
        <f t="shared" si="40"/>
        <v>14262</v>
      </c>
      <c r="E56" s="5">
        <f t="shared" si="40"/>
        <v>13870</v>
      </c>
      <c r="F56" s="5">
        <f t="shared" si="40"/>
        <v>16566</v>
      </c>
      <c r="G56" s="5">
        <f t="shared" si="40"/>
        <v>26096</v>
      </c>
      <c r="H56" s="5">
        <f t="shared" si="40"/>
        <v>133400</v>
      </c>
      <c r="I56" s="5">
        <f t="shared" si="40"/>
        <v>148456</v>
      </c>
      <c r="J56" s="5">
        <f t="shared" si="40"/>
        <v>167046</v>
      </c>
      <c r="K56" s="5">
        <f t="shared" si="40"/>
        <v>192638</v>
      </c>
      <c r="L56" s="5">
        <f t="shared" si="40"/>
        <v>243050</v>
      </c>
      <c r="M56" s="5">
        <f t="shared" si="40"/>
        <v>301166</v>
      </c>
      <c r="N56" s="5">
        <f t="shared" si="40"/>
        <v>317910</v>
      </c>
      <c r="O56" s="5">
        <f t="shared" si="40"/>
        <v>359226</v>
      </c>
    </row>
    <row r="57" spans="1:29" x14ac:dyDescent="0.2">
      <c r="C57" s="5"/>
    </row>
    <row r="58" spans="1:29" x14ac:dyDescent="0.2">
      <c r="A58" t="s">
        <v>95</v>
      </c>
      <c r="C58" s="5"/>
      <c r="E58" s="5">
        <f t="shared" ref="E58:N58" si="41">+SUM(B19:E19)</f>
        <v>1428</v>
      </c>
      <c r="F58" s="5">
        <f t="shared" si="41"/>
        <v>2707</v>
      </c>
      <c r="G58" s="5">
        <f t="shared" si="41"/>
        <v>5332</v>
      </c>
      <c r="H58" s="5">
        <f t="shared" si="41"/>
        <v>10045</v>
      </c>
      <c r="I58" s="5">
        <f t="shared" si="41"/>
        <v>17612</v>
      </c>
      <c r="J58" s="5">
        <f t="shared" si="41"/>
        <v>25459</v>
      </c>
      <c r="K58" s="5">
        <f t="shared" si="41"/>
        <v>33437</v>
      </c>
      <c r="L58" s="5">
        <f t="shared" si="41"/>
        <v>53093</v>
      </c>
      <c r="M58" s="5">
        <f t="shared" si="41"/>
        <v>74497</v>
      </c>
      <c r="N58" s="5">
        <f t="shared" si="41"/>
        <v>74939</v>
      </c>
      <c r="O58" s="5">
        <f>+SUM(L19:O19)</f>
        <v>82731</v>
      </c>
    </row>
    <row r="59" spans="1:29" s="7" customFormat="1" x14ac:dyDescent="0.2">
      <c r="A59" s="7" t="s">
        <v>94</v>
      </c>
      <c r="E59" s="7">
        <f t="shared" ref="E59:N59" si="42">+E58/(E31+E33+E34+E35+E36+E37)</f>
        <v>2.6717057381803213E-2</v>
      </c>
      <c r="F59" s="7">
        <f t="shared" si="42"/>
        <v>4.2949165450276071E-2</v>
      </c>
      <c r="G59" s="7">
        <f t="shared" si="42"/>
        <v>8.2306813621067579E-2</v>
      </c>
      <c r="H59" s="7">
        <f t="shared" si="42"/>
        <v>0.11645566685216101</v>
      </c>
      <c r="I59" s="7">
        <f t="shared" si="42"/>
        <v>0.21849490112398581</v>
      </c>
      <c r="J59" s="7">
        <f t="shared" si="42"/>
        <v>0.257760453579022</v>
      </c>
      <c r="K59" s="7">
        <f t="shared" si="42"/>
        <v>0.25910112359550563</v>
      </c>
      <c r="L59" s="7">
        <f t="shared" si="42"/>
        <v>0.26377551780843694</v>
      </c>
      <c r="M59" s="7">
        <f t="shared" si="42"/>
        <v>0.27124735113564369</v>
      </c>
      <c r="N59" s="7">
        <f t="shared" si="42"/>
        <v>0.20294592369521416</v>
      </c>
      <c r="O59" s="7">
        <f>+O58/(O31+O33+O34+O35+O36+O37)</f>
        <v>0.22648963109985626</v>
      </c>
    </row>
    <row r="61" spans="1:29" x14ac:dyDescent="0.2">
      <c r="A61" t="s">
        <v>37</v>
      </c>
      <c r="B61" s="5">
        <f t="shared" ref="B61:O61" si="43">+B19</f>
        <v>-188</v>
      </c>
      <c r="C61" s="5">
        <f t="shared" si="43"/>
        <v>1909</v>
      </c>
      <c r="D61" s="5">
        <f t="shared" si="43"/>
        <v>183</v>
      </c>
      <c r="E61" s="5">
        <f t="shared" si="43"/>
        <v>-476</v>
      </c>
      <c r="F61" s="5">
        <f t="shared" si="43"/>
        <v>1091</v>
      </c>
      <c r="G61" s="5">
        <f t="shared" si="43"/>
        <v>4534</v>
      </c>
      <c r="H61" s="5">
        <f t="shared" si="43"/>
        <v>4896</v>
      </c>
      <c r="I61" s="5">
        <f t="shared" si="43"/>
        <v>7091</v>
      </c>
      <c r="J61" s="5">
        <f t="shared" si="43"/>
        <v>8938</v>
      </c>
      <c r="K61" s="5">
        <f t="shared" si="43"/>
        <v>12512</v>
      </c>
      <c r="L61" s="5">
        <f t="shared" si="43"/>
        <v>24552</v>
      </c>
      <c r="M61" s="5">
        <f t="shared" si="43"/>
        <v>28495</v>
      </c>
      <c r="N61" s="5">
        <f t="shared" si="43"/>
        <v>9380</v>
      </c>
      <c r="O61" s="5">
        <f t="shared" si="43"/>
        <v>20304</v>
      </c>
      <c r="W61" s="5">
        <f t="shared" ref="W61:AB61" si="44">+W19</f>
        <v>1721</v>
      </c>
      <c r="X61" s="5">
        <f t="shared" si="44"/>
        <v>-293</v>
      </c>
      <c r="Y61" s="5">
        <f t="shared" si="44"/>
        <v>5625</v>
      </c>
      <c r="Z61" s="5">
        <f t="shared" si="44"/>
        <v>11987</v>
      </c>
      <c r="AA61" s="5">
        <f t="shared" si="44"/>
        <v>21450</v>
      </c>
      <c r="AB61" s="5">
        <f t="shared" si="44"/>
        <v>53047</v>
      </c>
      <c r="AC61" s="5">
        <f>+AC14</f>
        <v>41859</v>
      </c>
    </row>
    <row r="62" spans="1:29" x14ac:dyDescent="0.2">
      <c r="A62" t="s">
        <v>38</v>
      </c>
      <c r="B62">
        <v>-182</v>
      </c>
      <c r="C62" s="5">
        <f t="shared" ref="C62:C70" si="45">+W62-B62</f>
        <v>2599</v>
      </c>
      <c r="D62" s="5">
        <v>290</v>
      </c>
      <c r="E62" s="5">
        <f t="shared" ref="E62:E70" si="46">+X62-D62</f>
        <v>-371</v>
      </c>
      <c r="F62" s="5">
        <v>1919</v>
      </c>
      <c r="G62" s="5">
        <f t="shared" ref="G62:G70" si="47">+Y62-F62</f>
        <v>6726</v>
      </c>
      <c r="H62" s="5">
        <v>6572</v>
      </c>
      <c r="I62" s="5">
        <f t="shared" ref="I62:I70" si="48">+Z62-H62</f>
        <v>10779</v>
      </c>
      <c r="J62" s="5">
        <v>12602</v>
      </c>
      <c r="K62" s="5">
        <f t="shared" ref="K62:K70" si="49">+AA62-J62</f>
        <v>15088</v>
      </c>
      <c r="L62" s="5">
        <v>31521</v>
      </c>
      <c r="M62" s="5">
        <f t="shared" ref="M62:M70" si="50">+AB62-L62</f>
        <v>36225</v>
      </c>
      <c r="N62" s="5">
        <v>13607</v>
      </c>
      <c r="O62" s="5">
        <f t="shared" ref="O62:O70" si="51">+AC62-N62</f>
        <v>28252</v>
      </c>
      <c r="W62" s="5">
        <v>2417</v>
      </c>
      <c r="X62" s="5">
        <v>-81</v>
      </c>
      <c r="Y62" s="5">
        <v>8645</v>
      </c>
      <c r="Z62" s="5">
        <v>17351</v>
      </c>
      <c r="AA62" s="5">
        <v>27690</v>
      </c>
      <c r="AB62" s="5">
        <v>67746</v>
      </c>
      <c r="AC62" s="5">
        <v>41859</v>
      </c>
    </row>
    <row r="63" spans="1:29" x14ac:dyDescent="0.2">
      <c r="A63" t="s">
        <v>39</v>
      </c>
      <c r="B63">
        <v>795</v>
      </c>
      <c r="C63" s="5">
        <f t="shared" si="45"/>
        <v>803</v>
      </c>
      <c r="D63" s="5">
        <v>862</v>
      </c>
      <c r="E63" s="5">
        <f t="shared" si="46"/>
        <v>1624</v>
      </c>
      <c r="F63" s="5">
        <v>2558</v>
      </c>
      <c r="G63" s="5">
        <f t="shared" si="47"/>
        <v>2668</v>
      </c>
      <c r="H63" s="5">
        <v>3082</v>
      </c>
      <c r="I63" s="5">
        <f t="shared" si="48"/>
        <v>3408</v>
      </c>
      <c r="J63" s="5">
        <v>4044</v>
      </c>
      <c r="K63" s="5">
        <f t="shared" si="49"/>
        <v>4470</v>
      </c>
      <c r="L63" s="5">
        <v>4896</v>
      </c>
      <c r="M63" s="5">
        <f t="shared" si="50"/>
        <v>5262</v>
      </c>
      <c r="N63" s="5">
        <v>6774</v>
      </c>
      <c r="O63" s="5">
        <f t="shared" si="51"/>
        <v>7382</v>
      </c>
      <c r="W63" s="5">
        <v>1598</v>
      </c>
      <c r="X63" s="5">
        <v>2486</v>
      </c>
      <c r="Y63" s="5">
        <v>5226</v>
      </c>
      <c r="Z63" s="5">
        <v>6490</v>
      </c>
      <c r="AA63" s="5">
        <v>8514</v>
      </c>
      <c r="AB63" s="5">
        <v>10158</v>
      </c>
      <c r="AC63" s="5">
        <v>14156</v>
      </c>
    </row>
    <row r="64" spans="1:29" x14ac:dyDescent="0.2">
      <c r="A64" t="s">
        <v>40</v>
      </c>
      <c r="B64">
        <v>0</v>
      </c>
      <c r="C64" s="5">
        <f t="shared" si="45"/>
        <v>0</v>
      </c>
      <c r="D64" s="5">
        <v>0</v>
      </c>
      <c r="E64" s="5">
        <f t="shared" si="46"/>
        <v>4</v>
      </c>
      <c r="F64" s="5">
        <v>0</v>
      </c>
      <c r="G64" s="5">
        <f t="shared" si="47"/>
        <v>6</v>
      </c>
      <c r="H64" s="5">
        <v>0</v>
      </c>
      <c r="I64" s="5">
        <f t="shared" si="48"/>
        <v>3</v>
      </c>
      <c r="J64" s="5">
        <v>0</v>
      </c>
      <c r="K64" s="5">
        <f t="shared" si="49"/>
        <v>14</v>
      </c>
      <c r="L64" s="5">
        <v>0</v>
      </c>
      <c r="M64" s="5">
        <f t="shared" si="50"/>
        <v>-9</v>
      </c>
      <c r="N64" s="5">
        <v>0</v>
      </c>
      <c r="O64" s="5">
        <f t="shared" si="51"/>
        <v>3</v>
      </c>
      <c r="W64" s="5">
        <v>0</v>
      </c>
      <c r="X64" s="5">
        <v>4</v>
      </c>
      <c r="Y64" s="5">
        <v>6</v>
      </c>
      <c r="Z64" s="5">
        <v>3</v>
      </c>
      <c r="AA64" s="5">
        <v>14</v>
      </c>
      <c r="AB64" s="5">
        <v>-9</v>
      </c>
      <c r="AC64" s="5">
        <v>3</v>
      </c>
    </row>
    <row r="65" spans="1:29" x14ac:dyDescent="0.2">
      <c r="A65" t="s">
        <v>21</v>
      </c>
      <c r="B65">
        <v>-1</v>
      </c>
      <c r="C65" s="5">
        <f t="shared" si="45"/>
        <v>8</v>
      </c>
      <c r="D65" s="5">
        <v>-22</v>
      </c>
      <c r="E65" s="5">
        <f t="shared" si="46"/>
        <v>-74</v>
      </c>
      <c r="F65" s="5">
        <v>8</v>
      </c>
      <c r="G65" s="5">
        <f t="shared" si="47"/>
        <v>-1</v>
      </c>
      <c r="H65" s="5">
        <v>-13</v>
      </c>
      <c r="I65" s="5">
        <f t="shared" si="48"/>
        <v>-12</v>
      </c>
      <c r="J65" s="5">
        <v>-15</v>
      </c>
      <c r="K65" s="5">
        <f t="shared" si="49"/>
        <v>-164</v>
      </c>
      <c r="L65" s="5">
        <v>-578</v>
      </c>
      <c r="M65" s="5">
        <f t="shared" si="50"/>
        <v>-695</v>
      </c>
      <c r="N65" s="5">
        <v>-24</v>
      </c>
      <c r="O65" s="5">
        <f t="shared" si="51"/>
        <v>3</v>
      </c>
      <c r="W65" s="5">
        <v>7</v>
      </c>
      <c r="X65" s="5">
        <v>-96</v>
      </c>
      <c r="Y65" s="5">
        <v>7</v>
      </c>
      <c r="Z65" s="5">
        <v>-25</v>
      </c>
      <c r="AA65" s="5">
        <v>-179</v>
      </c>
      <c r="AB65" s="5">
        <v>-1273</v>
      </c>
      <c r="AC65" s="5">
        <v>-21</v>
      </c>
    </row>
    <row r="66" spans="1:29" x14ac:dyDescent="0.2">
      <c r="A66" t="s">
        <v>41</v>
      </c>
      <c r="B66">
        <v>0</v>
      </c>
      <c r="C66" s="5">
        <f t="shared" si="45"/>
        <v>0</v>
      </c>
      <c r="D66" s="5">
        <v>142</v>
      </c>
      <c r="E66" s="5">
        <f t="shared" si="46"/>
        <v>250</v>
      </c>
      <c r="F66" s="5">
        <v>257</v>
      </c>
      <c r="G66" s="5">
        <f t="shared" si="47"/>
        <v>231</v>
      </c>
      <c r="H66" s="5">
        <v>337</v>
      </c>
      <c r="I66" s="5">
        <f t="shared" si="48"/>
        <v>165</v>
      </c>
      <c r="J66" s="5">
        <v>271</v>
      </c>
      <c r="K66" s="5">
        <f t="shared" si="49"/>
        <v>370</v>
      </c>
      <c r="L66" s="5">
        <v>400</v>
      </c>
      <c r="M66" s="5">
        <f t="shared" si="50"/>
        <v>595</v>
      </c>
      <c r="N66" s="5">
        <v>700</v>
      </c>
      <c r="O66" s="5">
        <f t="shared" si="51"/>
        <v>354</v>
      </c>
      <c r="W66" s="5">
        <v>0</v>
      </c>
      <c r="X66" s="5">
        <v>392</v>
      </c>
      <c r="Y66" s="5">
        <v>488</v>
      </c>
      <c r="Z66" s="5">
        <v>502</v>
      </c>
      <c r="AA66" s="5">
        <v>641</v>
      </c>
      <c r="AB66" s="5">
        <v>995</v>
      </c>
      <c r="AC66" s="5">
        <v>1054</v>
      </c>
    </row>
    <row r="67" spans="1:29" x14ac:dyDescent="0.2">
      <c r="A67" t="s">
        <v>42</v>
      </c>
      <c r="B67">
        <f>+-536+1064-1879-1371</f>
        <v>-2722</v>
      </c>
      <c r="C67" s="5">
        <f t="shared" si="45"/>
        <v>453</v>
      </c>
      <c r="D67" s="5">
        <f>-4015-1217-245+3380</f>
        <v>-2097</v>
      </c>
      <c r="E67" s="5">
        <f t="shared" si="46"/>
        <v>-1465</v>
      </c>
      <c r="F67" s="5">
        <f>-6449+3079-4205+2196</f>
        <v>-5379</v>
      </c>
      <c r="G67" s="5">
        <f t="shared" si="47"/>
        <v>5874</v>
      </c>
      <c r="H67" s="5">
        <f>-7393-3062-4838+2360</f>
        <v>-12933</v>
      </c>
      <c r="I67" s="5">
        <f t="shared" si="48"/>
        <v>10353</v>
      </c>
      <c r="J67" s="5">
        <f>2231-5614-13421+6807</f>
        <v>-9997</v>
      </c>
      <c r="K67" s="5">
        <f t="shared" si="49"/>
        <v>-12067</v>
      </c>
      <c r="L67" s="5">
        <f>-22937-2201-33825+26535</f>
        <v>-32428</v>
      </c>
      <c r="M67" s="5">
        <f t="shared" si="50"/>
        <v>-38466</v>
      </c>
      <c r="N67" s="5">
        <f>-23596+19442-43394-8020</f>
        <v>-55568</v>
      </c>
      <c r="O67" s="5">
        <f>+AC67-N67</f>
        <v>20270</v>
      </c>
      <c r="W67" s="5">
        <f>269-1489-4522+3473</f>
        <v>-2269</v>
      </c>
      <c r="X67" s="5">
        <f>+-3357-2276-5178+7249</f>
        <v>-3562</v>
      </c>
      <c r="Y67" s="5">
        <f>-4894+3216-5776+7949</f>
        <v>495</v>
      </c>
      <c r="Z67" s="5">
        <f>-5577+75-2080+5002</f>
        <v>-2580</v>
      </c>
      <c r="AA67" s="5">
        <f>+-21596+6781-28275+21026</f>
        <v>-22064</v>
      </c>
      <c r="AB67" s="5">
        <f>+-90233+12001-34741+42079</f>
        <v>-70894</v>
      </c>
      <c r="AC67" s="5">
        <f>+-18961-225-17294+1182</f>
        <v>-35298</v>
      </c>
    </row>
    <row r="68" spans="1:29" x14ac:dyDescent="0.2">
      <c r="A68" t="s">
        <v>14</v>
      </c>
      <c r="B68">
        <v>-212</v>
      </c>
      <c r="C68" s="5">
        <f t="shared" si="45"/>
        <v>-126</v>
      </c>
      <c r="D68" s="5">
        <v>-319</v>
      </c>
      <c r="E68" s="5">
        <f t="shared" si="46"/>
        <v>-76</v>
      </c>
      <c r="F68" s="5">
        <v>103</v>
      </c>
      <c r="G68" s="5">
        <f t="shared" si="47"/>
        <v>-352</v>
      </c>
      <c r="H68" s="5">
        <v>-1051</v>
      </c>
      <c r="I68" s="5">
        <f t="shared" si="48"/>
        <v>-66</v>
      </c>
      <c r="J68" s="5">
        <v>-3780</v>
      </c>
      <c r="K68" s="5">
        <f t="shared" si="49"/>
        <v>328</v>
      </c>
      <c r="L68" s="5">
        <v>-4590</v>
      </c>
      <c r="M68" s="5">
        <f t="shared" si="50"/>
        <v>-977</v>
      </c>
      <c r="N68" s="5">
        <v>-11895</v>
      </c>
      <c r="O68" s="5">
        <f t="shared" si="51"/>
        <v>-1886</v>
      </c>
      <c r="W68" s="5">
        <v>-338</v>
      </c>
      <c r="X68" s="5">
        <v>-395</v>
      </c>
      <c r="Y68" s="5">
        <v>-249</v>
      </c>
      <c r="Z68" s="5">
        <v>-1117</v>
      </c>
      <c r="AA68" s="5">
        <v>-3452</v>
      </c>
      <c r="AB68" s="5">
        <v>-5567</v>
      </c>
      <c r="AC68" s="5">
        <v>-13781</v>
      </c>
    </row>
    <row r="69" spans="1:29" x14ac:dyDescent="0.2">
      <c r="A69" t="s">
        <v>43</v>
      </c>
      <c r="B69">
        <v>-46</v>
      </c>
      <c r="C69" s="5">
        <f t="shared" si="45"/>
        <v>-65</v>
      </c>
      <c r="D69" s="5">
        <v>-81</v>
      </c>
      <c r="E69" s="5">
        <f t="shared" si="46"/>
        <v>-170</v>
      </c>
      <c r="F69" s="5">
        <v>-260</v>
      </c>
      <c r="G69" s="5">
        <f t="shared" si="47"/>
        <v>-272</v>
      </c>
      <c r="H69" s="5">
        <v>-273</v>
      </c>
      <c r="I69" s="5">
        <f t="shared" si="48"/>
        <v>-245</v>
      </c>
      <c r="J69" s="5">
        <v>-255</v>
      </c>
      <c r="K69" s="5">
        <f t="shared" si="49"/>
        <v>-375</v>
      </c>
      <c r="L69" s="5">
        <v>-287</v>
      </c>
      <c r="M69" s="5">
        <f t="shared" si="50"/>
        <v>-443</v>
      </c>
      <c r="N69" s="5">
        <v>-641</v>
      </c>
      <c r="O69" s="5">
        <f t="shared" si="51"/>
        <v>-1715</v>
      </c>
      <c r="W69" s="5">
        <v>-111</v>
      </c>
      <c r="X69" s="5">
        <v>-251</v>
      </c>
      <c r="Y69" s="5">
        <v>-532</v>
      </c>
      <c r="Z69" s="5">
        <v>-518</v>
      </c>
      <c r="AA69" s="5">
        <v>-630</v>
      </c>
      <c r="AB69" s="5">
        <v>-730</v>
      </c>
      <c r="AC69" s="5">
        <v>-2356</v>
      </c>
    </row>
    <row r="70" spans="1:29" x14ac:dyDescent="0.2">
      <c r="A70" t="s">
        <v>44</v>
      </c>
      <c r="B70">
        <v>0</v>
      </c>
      <c r="C70" s="5">
        <f t="shared" si="45"/>
        <v>0</v>
      </c>
      <c r="D70" s="5">
        <v>0</v>
      </c>
      <c r="E70" s="5">
        <f t="shared" si="46"/>
        <v>0</v>
      </c>
      <c r="F70" s="5">
        <v>8</v>
      </c>
      <c r="G70" s="5">
        <f t="shared" si="47"/>
        <v>1</v>
      </c>
      <c r="H70" s="5">
        <v>3</v>
      </c>
      <c r="I70" s="5">
        <f t="shared" si="48"/>
        <v>2</v>
      </c>
      <c r="J70" s="5">
        <v>1</v>
      </c>
      <c r="K70" s="5">
        <f t="shared" si="49"/>
        <v>3</v>
      </c>
      <c r="L70" s="5">
        <v>14</v>
      </c>
      <c r="M70" s="5">
        <f t="shared" si="50"/>
        <v>-11</v>
      </c>
      <c r="N70" s="5">
        <v>3</v>
      </c>
      <c r="O70" s="5">
        <f t="shared" si="51"/>
        <v>18</v>
      </c>
      <c r="W70" s="5">
        <v>0</v>
      </c>
      <c r="X70" s="5">
        <v>0</v>
      </c>
      <c r="Y70" s="5">
        <v>9</v>
      </c>
      <c r="Z70" s="5">
        <v>5</v>
      </c>
      <c r="AA70" s="5">
        <v>4</v>
      </c>
      <c r="AB70" s="5">
        <v>3</v>
      </c>
      <c r="AC70" s="5">
        <v>21</v>
      </c>
    </row>
    <row r="71" spans="1:29" s="4" customFormat="1" x14ac:dyDescent="0.2">
      <c r="A71" s="2" t="s">
        <v>45</v>
      </c>
      <c r="B71" s="4">
        <f t="shared" ref="B71:O71" si="52">SUM(B62:B70)</f>
        <v>-2368</v>
      </c>
      <c r="C71" s="4">
        <f t="shared" si="52"/>
        <v>3672</v>
      </c>
      <c r="D71" s="4">
        <f t="shared" si="52"/>
        <v>-1225</v>
      </c>
      <c r="E71" s="4">
        <f t="shared" si="52"/>
        <v>-278</v>
      </c>
      <c r="F71" s="4">
        <f t="shared" si="52"/>
        <v>-786</v>
      </c>
      <c r="G71" s="4">
        <f t="shared" si="52"/>
        <v>14881</v>
      </c>
      <c r="H71" s="4">
        <f t="shared" si="52"/>
        <v>-4276</v>
      </c>
      <c r="I71" s="4">
        <f t="shared" si="52"/>
        <v>24387</v>
      </c>
      <c r="J71" s="4">
        <f t="shared" si="52"/>
        <v>2871</v>
      </c>
      <c r="K71" s="4">
        <f t="shared" si="52"/>
        <v>7667</v>
      </c>
      <c r="L71" s="4">
        <f t="shared" si="52"/>
        <v>-1052</v>
      </c>
      <c r="M71" s="4">
        <f t="shared" si="52"/>
        <v>1481</v>
      </c>
      <c r="N71" s="4">
        <f t="shared" si="52"/>
        <v>-47044</v>
      </c>
      <c r="O71" s="4">
        <f t="shared" si="52"/>
        <v>52681</v>
      </c>
      <c r="W71" s="4">
        <f t="shared" ref="W71:AC71" si="53">SUM(W62:W70)</f>
        <v>1304</v>
      </c>
      <c r="X71" s="4">
        <f t="shared" si="53"/>
        <v>-1503</v>
      </c>
      <c r="Y71" s="4">
        <f t="shared" si="53"/>
        <v>14095</v>
      </c>
      <c r="Z71" s="4">
        <f t="shared" si="53"/>
        <v>20111</v>
      </c>
      <c r="AA71" s="4">
        <f t="shared" si="53"/>
        <v>10538</v>
      </c>
      <c r="AB71" s="4">
        <f t="shared" si="53"/>
        <v>429</v>
      </c>
      <c r="AC71" s="4">
        <f t="shared" si="53"/>
        <v>5637</v>
      </c>
    </row>
    <row r="73" spans="1:29" x14ac:dyDescent="0.2">
      <c r="A73" t="s">
        <v>84</v>
      </c>
      <c r="B73">
        <v>0</v>
      </c>
      <c r="C73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W73" s="5">
        <v>0</v>
      </c>
      <c r="X73" s="5">
        <v>-3767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</row>
    <row r="74" spans="1:29" x14ac:dyDescent="0.2">
      <c r="A74" t="s">
        <v>46</v>
      </c>
      <c r="B74" s="5">
        <v>-995</v>
      </c>
      <c r="C74" s="5">
        <f>+W74-B74</f>
        <v>-845</v>
      </c>
      <c r="D74" s="5">
        <v>-704</v>
      </c>
      <c r="E74" s="5">
        <f>+X74-D74</f>
        <v>-2002</v>
      </c>
      <c r="F74" s="5">
        <v>-1234</v>
      </c>
      <c r="G74" s="5">
        <f>+Y74-F74</f>
        <v>-1236</v>
      </c>
      <c r="H74" s="5">
        <v>-2373</v>
      </c>
      <c r="I74" s="5">
        <f>+Z74-H74</f>
        <v>-2252</v>
      </c>
      <c r="J74" s="5">
        <v>-2016</v>
      </c>
      <c r="K74" s="5">
        <f>+AA74-J74</f>
        <v>-2012</v>
      </c>
      <c r="L74" s="5">
        <v>-5229</v>
      </c>
      <c r="M74" s="5">
        <f>+AB74-L74</f>
        <v>-6228</v>
      </c>
      <c r="N74" s="5">
        <v>-15179</v>
      </c>
      <c r="O74" s="5">
        <f>+AC74-N74</f>
        <v>-8813</v>
      </c>
      <c r="W74" s="5">
        <v>-1840</v>
      </c>
      <c r="X74" s="5">
        <v>-2706</v>
      </c>
      <c r="Y74" s="5">
        <v>-2470</v>
      </c>
      <c r="Z74" s="5">
        <v>-4625</v>
      </c>
      <c r="AA74" s="5">
        <v>-4028</v>
      </c>
      <c r="AB74" s="5">
        <v>-11457</v>
      </c>
      <c r="AC74" s="5">
        <v>-23992</v>
      </c>
    </row>
    <row r="75" spans="1:29" x14ac:dyDescent="0.2">
      <c r="A75" t="s">
        <v>19</v>
      </c>
      <c r="B75" s="5">
        <v>-873</v>
      </c>
      <c r="C75" s="5">
        <f>+W75-B75</f>
        <v>-1013</v>
      </c>
      <c r="D75" s="5">
        <v>-1370</v>
      </c>
      <c r="E75" s="5">
        <f>+X75-D75</f>
        <v>-1986</v>
      </c>
      <c r="F75" s="5">
        <v>-1977</v>
      </c>
      <c r="G75" s="5">
        <f>+Y75-F75</f>
        <v>-2243</v>
      </c>
      <c r="H75" s="5">
        <v>-2486</v>
      </c>
      <c r="I75" s="5">
        <f>+Z75-H75</f>
        <v>-2506</v>
      </c>
      <c r="J75" s="5">
        <v>-3335</v>
      </c>
      <c r="K75" s="5">
        <f>+AA75+J75</f>
        <v>-10989</v>
      </c>
      <c r="L75" s="5">
        <v>-4822</v>
      </c>
      <c r="M75" s="5">
        <f>+AB75-L75</f>
        <v>-4746</v>
      </c>
      <c r="N75" s="5">
        <v>-4961</v>
      </c>
      <c r="O75" s="5">
        <f>+AC75-N75</f>
        <v>-5746</v>
      </c>
      <c r="W75" s="5">
        <v>-1886</v>
      </c>
      <c r="X75" s="5">
        <v>-3356</v>
      </c>
      <c r="Y75" s="5">
        <v>-4220</v>
      </c>
      <c r="Z75" s="5">
        <v>-4992</v>
      </c>
      <c r="AA75" s="5">
        <v>-7654</v>
      </c>
      <c r="AB75" s="5">
        <v>-9568</v>
      </c>
      <c r="AC75" s="5">
        <v>-10707</v>
      </c>
    </row>
    <row r="76" spans="1:29" x14ac:dyDescent="0.2">
      <c r="A76" t="s">
        <v>82</v>
      </c>
      <c r="B76" s="5">
        <v>0</v>
      </c>
      <c r="C76" s="5">
        <f>+W76-B76</f>
        <v>0</v>
      </c>
      <c r="D76" s="5">
        <v>0</v>
      </c>
      <c r="E76" s="5">
        <f>+X76-D76</f>
        <v>0</v>
      </c>
      <c r="F76" s="5">
        <v>0</v>
      </c>
      <c r="G76" s="5">
        <f>+Y76-F76</f>
        <v>0</v>
      </c>
      <c r="H76" s="5">
        <v>0</v>
      </c>
      <c r="I76" s="5">
        <f>+Z76-H76</f>
        <v>0</v>
      </c>
      <c r="J76" s="5">
        <v>0</v>
      </c>
      <c r="K76" s="5">
        <f>+AA76-J76</f>
        <v>0</v>
      </c>
      <c r="L76" s="5">
        <v>0</v>
      </c>
      <c r="M76" s="5">
        <f>+AB76-L76</f>
        <v>0</v>
      </c>
      <c r="N76" s="5">
        <v>0</v>
      </c>
      <c r="O76" s="5">
        <f>+AC76-N76</f>
        <v>-24404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-24404</v>
      </c>
    </row>
    <row r="77" spans="1:29" s="4" customFormat="1" x14ac:dyDescent="0.2">
      <c r="A77" s="2" t="s">
        <v>47</v>
      </c>
      <c r="B77" s="4">
        <f t="shared" ref="B77:O77" si="54">SUM(B74:B76)</f>
        <v>-1868</v>
      </c>
      <c r="C77" s="4">
        <f t="shared" si="54"/>
        <v>-1858</v>
      </c>
      <c r="D77" s="4">
        <f t="shared" si="54"/>
        <v>-2074</v>
      </c>
      <c r="E77" s="4">
        <f t="shared" si="54"/>
        <v>-3988</v>
      </c>
      <c r="F77" s="4">
        <f t="shared" si="54"/>
        <v>-3211</v>
      </c>
      <c r="G77" s="4">
        <f t="shared" si="54"/>
        <v>-3479</v>
      </c>
      <c r="H77" s="4">
        <f t="shared" si="54"/>
        <v>-4859</v>
      </c>
      <c r="I77" s="4">
        <f t="shared" si="54"/>
        <v>-4758</v>
      </c>
      <c r="J77" s="4">
        <f t="shared" si="54"/>
        <v>-5351</v>
      </c>
      <c r="K77" s="4">
        <f t="shared" si="54"/>
        <v>-13001</v>
      </c>
      <c r="L77" s="4">
        <f t="shared" si="54"/>
        <v>-10051</v>
      </c>
      <c r="M77" s="4">
        <f t="shared" si="54"/>
        <v>-10974</v>
      </c>
      <c r="N77" s="4">
        <f t="shared" si="54"/>
        <v>-20140</v>
      </c>
      <c r="O77" s="4">
        <f t="shared" si="54"/>
        <v>-38963</v>
      </c>
      <c r="W77" s="4">
        <f>SUM(W74:W76)</f>
        <v>-3726</v>
      </c>
      <c r="X77" s="4">
        <f>SUM(X73:X76)</f>
        <v>-9829</v>
      </c>
      <c r="Y77" s="4">
        <f>SUM(Y74:Y76)</f>
        <v>-6690</v>
      </c>
      <c r="Z77" s="4">
        <f>SUM(Z74:Z76)</f>
        <v>-9617</v>
      </c>
      <c r="AA77" s="4">
        <f>SUM(AA74:AA76)</f>
        <v>-11682</v>
      </c>
      <c r="AB77" s="4">
        <f>SUM(AB74:AB76)</f>
        <v>-21025</v>
      </c>
      <c r="AC77" s="4">
        <f>SUM(AC74:AC76)</f>
        <v>-59103</v>
      </c>
    </row>
    <row r="78" spans="1:29" x14ac:dyDescent="0.2">
      <c r="B78" s="5"/>
    </row>
    <row r="79" spans="1:29" x14ac:dyDescent="0.2">
      <c r="A79" t="s">
        <v>48</v>
      </c>
      <c r="B79" s="5">
        <v>0</v>
      </c>
      <c r="C79">
        <v>0</v>
      </c>
      <c r="D79" s="5">
        <v>0</v>
      </c>
      <c r="E79" s="5">
        <v>0</v>
      </c>
      <c r="F79" s="5">
        <v>0</v>
      </c>
      <c r="G79" s="5">
        <f>+Y79-F79</f>
        <v>0</v>
      </c>
      <c r="H79" s="5">
        <v>49434</v>
      </c>
      <c r="I79" s="5">
        <f>+Z79-H79</f>
        <v>-76</v>
      </c>
      <c r="J79" s="5">
        <v>0</v>
      </c>
      <c r="K79" s="5">
        <v>0</v>
      </c>
      <c r="L79" s="5">
        <v>0</v>
      </c>
      <c r="M79" s="5">
        <f>+AB79-L79</f>
        <v>0</v>
      </c>
      <c r="N79" s="5">
        <v>0</v>
      </c>
      <c r="O79" s="5">
        <f>+AC79-N79</f>
        <v>0</v>
      </c>
      <c r="W79" s="5">
        <v>0</v>
      </c>
      <c r="X79" s="5">
        <v>0</v>
      </c>
      <c r="Y79" s="5">
        <v>0</v>
      </c>
      <c r="Z79" s="5">
        <v>49358</v>
      </c>
      <c r="AA79" s="5">
        <v>0</v>
      </c>
      <c r="AB79" s="5">
        <v>0</v>
      </c>
      <c r="AC79" s="5">
        <v>0</v>
      </c>
    </row>
    <row r="80" spans="1:29" x14ac:dyDescent="0.2">
      <c r="A80" t="s">
        <v>83</v>
      </c>
      <c r="B80" s="5">
        <v>0</v>
      </c>
      <c r="C80">
        <v>0</v>
      </c>
      <c r="D80" s="5">
        <v>0</v>
      </c>
      <c r="E80" s="5">
        <v>0</v>
      </c>
      <c r="F80" s="5">
        <v>0</v>
      </c>
      <c r="G80" s="5">
        <f>+Y80-F80</f>
        <v>0</v>
      </c>
      <c r="H80" s="5">
        <v>-1015</v>
      </c>
      <c r="I80" s="5">
        <f>+Z80-H80</f>
        <v>0</v>
      </c>
      <c r="J80" s="5">
        <v>0</v>
      </c>
      <c r="K80" s="5">
        <f>+AA80-J80</f>
        <v>0</v>
      </c>
      <c r="L80" s="5">
        <v>0</v>
      </c>
      <c r="M80" s="5">
        <f>+AB80-L80</f>
        <v>-42</v>
      </c>
      <c r="N80" s="5">
        <v>-2071</v>
      </c>
      <c r="O80" s="5">
        <f>+AC80-N80</f>
        <v>0</v>
      </c>
      <c r="W80" s="5">
        <v>0</v>
      </c>
      <c r="X80" s="5">
        <v>0</v>
      </c>
      <c r="Y80" s="5">
        <v>0</v>
      </c>
      <c r="Z80" s="5">
        <v>-1015</v>
      </c>
      <c r="AA80" s="5">
        <v>0</v>
      </c>
      <c r="AB80" s="5">
        <v>-42</v>
      </c>
      <c r="AC80" s="5">
        <v>-2071</v>
      </c>
    </row>
    <row r="81" spans="1:29" x14ac:dyDescent="0.2">
      <c r="A81" t="s">
        <v>30</v>
      </c>
      <c r="B81" s="5">
        <v>0</v>
      </c>
      <c r="C81">
        <v>0</v>
      </c>
      <c r="D81" s="5">
        <v>6750</v>
      </c>
      <c r="E81" s="5">
        <f>+X81-D81</f>
        <v>0</v>
      </c>
      <c r="F81" s="5">
        <v>1002</v>
      </c>
      <c r="G81" s="5">
        <f>+Y81-F81</f>
        <v>-1002</v>
      </c>
      <c r="H81" s="5">
        <v>772</v>
      </c>
      <c r="I81" s="5">
        <f>+Z81-H81</f>
        <v>-772</v>
      </c>
      <c r="J81" s="5">
        <v>1008</v>
      </c>
      <c r="K81" s="5">
        <f>+AA81-J81</f>
        <v>-1008</v>
      </c>
      <c r="L81" s="5">
        <v>479</v>
      </c>
      <c r="M81" s="5">
        <f>+AB81-L81</f>
        <v>-479</v>
      </c>
      <c r="N81" s="5">
        <v>25185</v>
      </c>
      <c r="O81" s="5">
        <f>+AC81-N81</f>
        <v>9815</v>
      </c>
      <c r="W81" s="5">
        <v>0</v>
      </c>
      <c r="X81" s="5">
        <v>6750</v>
      </c>
      <c r="Y81" s="5">
        <v>0</v>
      </c>
      <c r="Z81" s="5">
        <v>0</v>
      </c>
      <c r="AA81" s="5">
        <v>0</v>
      </c>
      <c r="AB81" s="5">
        <v>0</v>
      </c>
      <c r="AC81" s="5">
        <v>35000</v>
      </c>
    </row>
    <row r="82" spans="1:29" x14ac:dyDescent="0.2">
      <c r="A82" t="s">
        <v>49</v>
      </c>
      <c r="B82" s="5">
        <v>-105</v>
      </c>
      <c r="C82" s="5">
        <f>+W82-B82</f>
        <v>-105</v>
      </c>
      <c r="D82" s="5">
        <v>-142</v>
      </c>
      <c r="E82" s="5">
        <f>+X82-D82</f>
        <v>-1127</v>
      </c>
      <c r="F82" s="5">
        <v>-1471</v>
      </c>
      <c r="G82" s="5">
        <f>+Y82-F82</f>
        <v>-1992</v>
      </c>
      <c r="H82" s="5">
        <v>-1648</v>
      </c>
      <c r="I82" s="5">
        <f>+Z82-H82</f>
        <v>-1712</v>
      </c>
      <c r="J82" s="5">
        <v>-1920</v>
      </c>
      <c r="K82" s="5">
        <f>+AA82-J82</f>
        <v>-2003</v>
      </c>
      <c r="L82" s="5">
        <v>-2229</v>
      </c>
      <c r="M82" s="5">
        <f>+AB82-L82</f>
        <v>-1569</v>
      </c>
      <c r="N82" s="5">
        <v>-2404</v>
      </c>
      <c r="O82" s="5">
        <f>+AC82-N82</f>
        <v>-4229</v>
      </c>
      <c r="W82" s="5">
        <v>-210</v>
      </c>
      <c r="X82" s="5">
        <v>-1269</v>
      </c>
      <c r="Y82" s="5">
        <v>-3463</v>
      </c>
      <c r="Z82" s="5">
        <v>-3360</v>
      </c>
      <c r="AA82" s="5">
        <v>-3923</v>
      </c>
      <c r="AB82" s="5">
        <v>-3798</v>
      </c>
      <c r="AC82" s="5">
        <v>-6633</v>
      </c>
    </row>
    <row r="83" spans="1:29" x14ac:dyDescent="0.2">
      <c r="A83" t="s">
        <v>50</v>
      </c>
      <c r="B83" s="5">
        <v>0</v>
      </c>
      <c r="C83">
        <v>0</v>
      </c>
      <c r="D83" s="5">
        <v>0</v>
      </c>
      <c r="E83" s="5">
        <f>+X83-D83</f>
        <v>0</v>
      </c>
      <c r="F83" s="5">
        <v>0</v>
      </c>
      <c r="G83" s="5">
        <f>+Y83-F83</f>
        <v>0</v>
      </c>
      <c r="H83" s="5">
        <v>0</v>
      </c>
      <c r="I83" s="5">
        <f>+Z83-H83</f>
        <v>0</v>
      </c>
      <c r="J83" s="5">
        <v>0</v>
      </c>
      <c r="K83" s="5">
        <f>+AA83-J83</f>
        <v>0</v>
      </c>
      <c r="L83" s="5">
        <v>0</v>
      </c>
      <c r="M83" s="5">
        <f>+AB83-L83</f>
        <v>0</v>
      </c>
      <c r="N83" s="5">
        <v>0</v>
      </c>
      <c r="O83" s="5">
        <f>+AC83-N83</f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</row>
    <row r="84" spans="1:29" s="4" customFormat="1" x14ac:dyDescent="0.2">
      <c r="A84" s="2" t="s">
        <v>51</v>
      </c>
      <c r="B84" s="4">
        <f t="shared" ref="B84:O84" si="55">SUM(B79:B83)</f>
        <v>-105</v>
      </c>
      <c r="C84" s="4">
        <f t="shared" si="55"/>
        <v>-105</v>
      </c>
      <c r="D84" s="4">
        <f t="shared" si="55"/>
        <v>6608</v>
      </c>
      <c r="E84" s="4">
        <f t="shared" si="55"/>
        <v>-1127</v>
      </c>
      <c r="F84" s="4">
        <f t="shared" si="55"/>
        <v>-469</v>
      </c>
      <c r="G84" s="4">
        <f t="shared" si="55"/>
        <v>-2994</v>
      </c>
      <c r="H84" s="4">
        <f t="shared" si="55"/>
        <v>47543</v>
      </c>
      <c r="I84" s="4">
        <f t="shared" si="55"/>
        <v>-2560</v>
      </c>
      <c r="J84" s="4">
        <f t="shared" si="55"/>
        <v>-912</v>
      </c>
      <c r="K84" s="4">
        <f t="shared" si="55"/>
        <v>-3011</v>
      </c>
      <c r="L84" s="4">
        <f t="shared" si="55"/>
        <v>-1750</v>
      </c>
      <c r="M84" s="4">
        <f t="shared" si="55"/>
        <v>-2090</v>
      </c>
      <c r="N84" s="4">
        <f t="shared" si="55"/>
        <v>20710</v>
      </c>
      <c r="O84" s="4">
        <f t="shared" si="55"/>
        <v>5586</v>
      </c>
      <c r="W84" s="4">
        <f t="shared" ref="W84:AC84" si="56">SUM(W79:W83)</f>
        <v>-210</v>
      </c>
      <c r="X84" s="4">
        <f t="shared" si="56"/>
        <v>5481</v>
      </c>
      <c r="Y84" s="4">
        <f t="shared" si="56"/>
        <v>-3463</v>
      </c>
      <c r="Z84" s="4">
        <f t="shared" si="56"/>
        <v>44983</v>
      </c>
      <c r="AA84" s="4">
        <f t="shared" si="56"/>
        <v>-3923</v>
      </c>
      <c r="AB84" s="4">
        <f t="shared" si="56"/>
        <v>-3840</v>
      </c>
      <c r="AC84" s="4">
        <f t="shared" si="56"/>
        <v>26296</v>
      </c>
    </row>
    <row r="85" spans="1:29" x14ac:dyDescent="0.2">
      <c r="B85" s="5"/>
    </row>
    <row r="86" spans="1:29" x14ac:dyDescent="0.2">
      <c r="A86" t="s">
        <v>52</v>
      </c>
      <c r="B86" s="5">
        <f t="shared" ref="B86:O86" si="57">+B71+B77+B84</f>
        <v>-4341</v>
      </c>
      <c r="C86" s="5">
        <f t="shared" si="57"/>
        <v>1709</v>
      </c>
      <c r="D86" s="5">
        <f t="shared" si="57"/>
        <v>3309</v>
      </c>
      <c r="E86" s="5">
        <f t="shared" si="57"/>
        <v>-5393</v>
      </c>
      <c r="F86" s="5">
        <f t="shared" si="57"/>
        <v>-4466</v>
      </c>
      <c r="G86" s="5">
        <f t="shared" si="57"/>
        <v>8408</v>
      </c>
      <c r="H86" s="5">
        <f t="shared" si="57"/>
        <v>38408</v>
      </c>
      <c r="I86" s="5">
        <f t="shared" si="57"/>
        <v>17069</v>
      </c>
      <c r="J86" s="5">
        <f t="shared" si="57"/>
        <v>-3392</v>
      </c>
      <c r="K86" s="5">
        <f t="shared" si="57"/>
        <v>-8345</v>
      </c>
      <c r="L86" s="5">
        <f t="shared" si="57"/>
        <v>-12853</v>
      </c>
      <c r="M86" s="5">
        <f t="shared" si="57"/>
        <v>-11583</v>
      </c>
      <c r="N86" s="5">
        <f t="shared" si="57"/>
        <v>-46474</v>
      </c>
      <c r="O86" s="5">
        <f t="shared" si="57"/>
        <v>19304</v>
      </c>
      <c r="W86" s="5">
        <f t="shared" ref="W86:AC86" si="58">+W71+W77+W84</f>
        <v>-2632</v>
      </c>
      <c r="X86" s="5">
        <f t="shared" si="58"/>
        <v>-5851</v>
      </c>
      <c r="Y86" s="5">
        <f t="shared" si="58"/>
        <v>3942</v>
      </c>
      <c r="Z86" s="5">
        <f t="shared" si="58"/>
        <v>55477</v>
      </c>
      <c r="AA86" s="5">
        <f t="shared" si="58"/>
        <v>-5067</v>
      </c>
      <c r="AB86" s="5">
        <f t="shared" si="58"/>
        <v>-24436</v>
      </c>
      <c r="AC86" s="5">
        <f t="shared" si="58"/>
        <v>-27170</v>
      </c>
    </row>
    <row r="87" spans="1:29" x14ac:dyDescent="0.2">
      <c r="A87" t="s">
        <v>53</v>
      </c>
      <c r="B87" s="5">
        <v>-2933</v>
      </c>
      <c r="C87" s="5">
        <f>+B87+C86</f>
        <v>-1224</v>
      </c>
      <c r="D87" s="5">
        <f t="shared" ref="D87:O87" si="59">+C87+D86</f>
        <v>2085</v>
      </c>
      <c r="E87" s="5">
        <f t="shared" si="59"/>
        <v>-3308</v>
      </c>
      <c r="F87" s="5">
        <f t="shared" si="59"/>
        <v>-7774</v>
      </c>
      <c r="G87" s="5">
        <f t="shared" si="59"/>
        <v>634</v>
      </c>
      <c r="H87" s="5">
        <f t="shared" si="59"/>
        <v>39042</v>
      </c>
      <c r="I87" s="5">
        <f t="shared" si="59"/>
        <v>56111</v>
      </c>
      <c r="J87" s="5">
        <f t="shared" si="59"/>
        <v>52719</v>
      </c>
      <c r="K87" s="5">
        <f t="shared" si="59"/>
        <v>44374</v>
      </c>
      <c r="L87" s="5">
        <f t="shared" si="59"/>
        <v>31521</v>
      </c>
      <c r="M87" s="5">
        <f t="shared" si="59"/>
        <v>19938</v>
      </c>
      <c r="N87" s="5">
        <f t="shared" si="59"/>
        <v>-26536</v>
      </c>
      <c r="O87" s="5">
        <f t="shared" si="59"/>
        <v>-7232</v>
      </c>
      <c r="W87" s="5">
        <v>-1224</v>
      </c>
      <c r="X87" s="5">
        <f>+W87+X86</f>
        <v>-7075</v>
      </c>
      <c r="Y87" s="5">
        <f t="shared" ref="Y87:AC87" si="60">+X87+Y86</f>
        <v>-3133</v>
      </c>
      <c r="Z87" s="5">
        <f t="shared" si="60"/>
        <v>52344</v>
      </c>
      <c r="AA87" s="5">
        <f t="shared" si="60"/>
        <v>47277</v>
      </c>
      <c r="AB87" s="5">
        <f t="shared" si="60"/>
        <v>22841</v>
      </c>
      <c r="AC87" s="5">
        <f t="shared" si="60"/>
        <v>-4329</v>
      </c>
    </row>
    <row r="88" spans="1:29" x14ac:dyDescent="0.2">
      <c r="B88" s="5"/>
    </row>
    <row r="89" spans="1:29" x14ac:dyDescent="0.2">
      <c r="A89" t="s">
        <v>54</v>
      </c>
      <c r="B89" s="5">
        <f t="shared" ref="B89:O89" si="61">+B71+B74</f>
        <v>-3363</v>
      </c>
      <c r="C89" s="5">
        <f t="shared" si="61"/>
        <v>2827</v>
      </c>
      <c r="D89" s="5">
        <f t="shared" si="61"/>
        <v>-1929</v>
      </c>
      <c r="E89" s="5">
        <f t="shared" si="61"/>
        <v>-2280</v>
      </c>
      <c r="F89" s="5">
        <f t="shared" si="61"/>
        <v>-2020</v>
      </c>
      <c r="G89" s="5">
        <f t="shared" si="61"/>
        <v>13645</v>
      </c>
      <c r="H89" s="5">
        <f t="shared" si="61"/>
        <v>-6649</v>
      </c>
      <c r="I89" s="5">
        <f t="shared" si="61"/>
        <v>22135</v>
      </c>
      <c r="J89" s="5">
        <f t="shared" si="61"/>
        <v>855</v>
      </c>
      <c r="K89" s="5">
        <f t="shared" si="61"/>
        <v>5655</v>
      </c>
      <c r="L89" s="5">
        <f t="shared" si="61"/>
        <v>-6281</v>
      </c>
      <c r="M89" s="5">
        <f t="shared" si="61"/>
        <v>-4747</v>
      </c>
      <c r="N89" s="5">
        <f t="shared" si="61"/>
        <v>-62223</v>
      </c>
      <c r="O89" s="5">
        <f t="shared" si="61"/>
        <v>43868</v>
      </c>
      <c r="W89" s="5">
        <f>+W71+W74</f>
        <v>-536</v>
      </c>
      <c r="X89" s="5">
        <f>+X71+X73</f>
        <v>-5270</v>
      </c>
      <c r="Y89" s="5">
        <f>+Y71+Y74</f>
        <v>11625</v>
      </c>
      <c r="Z89" s="5">
        <f>+Z71+Z74</f>
        <v>15486</v>
      </c>
      <c r="AA89" s="5">
        <f>+AA71+AA74</f>
        <v>6510</v>
      </c>
      <c r="AB89" s="5">
        <f>+AB71+AB74</f>
        <v>-11028</v>
      </c>
      <c r="AC89" s="5">
        <f>+AC71+AC74</f>
        <v>-18355</v>
      </c>
    </row>
    <row r="90" spans="1:29" x14ac:dyDescent="0.2">
      <c r="A90" t="s">
        <v>55</v>
      </c>
      <c r="B90" s="5">
        <f t="shared" ref="B90:O90" si="62">+B71+B74-B66</f>
        <v>-3363</v>
      </c>
      <c r="C90" s="5">
        <f t="shared" si="62"/>
        <v>2827</v>
      </c>
      <c r="D90" s="5">
        <f t="shared" si="62"/>
        <v>-2071</v>
      </c>
      <c r="E90" s="5">
        <f t="shared" si="62"/>
        <v>-2530</v>
      </c>
      <c r="F90" s="5">
        <f t="shared" si="62"/>
        <v>-2277</v>
      </c>
      <c r="G90" s="5">
        <f t="shared" si="62"/>
        <v>13414</v>
      </c>
      <c r="H90" s="5">
        <f t="shared" si="62"/>
        <v>-6986</v>
      </c>
      <c r="I90" s="5">
        <f t="shared" si="62"/>
        <v>21970</v>
      </c>
      <c r="J90" s="5">
        <f t="shared" si="62"/>
        <v>584</v>
      </c>
      <c r="K90" s="5">
        <f t="shared" si="62"/>
        <v>5285</v>
      </c>
      <c r="L90" s="5">
        <f t="shared" si="62"/>
        <v>-6681</v>
      </c>
      <c r="M90" s="5">
        <f t="shared" si="62"/>
        <v>-5342</v>
      </c>
      <c r="N90" s="5">
        <f t="shared" si="62"/>
        <v>-62923</v>
      </c>
      <c r="O90" s="5">
        <f t="shared" si="62"/>
        <v>43514</v>
      </c>
      <c r="W90" s="5">
        <f>+W71+W74-W66</f>
        <v>-536</v>
      </c>
      <c r="X90" s="5">
        <f>+X71+X73-X66</f>
        <v>-5662</v>
      </c>
      <c r="Y90" s="5">
        <f>+Y71+Y74-Y66</f>
        <v>11137</v>
      </c>
      <c r="Z90" s="5">
        <f>+Z71+Z74-Z66</f>
        <v>14984</v>
      </c>
      <c r="AA90" s="5">
        <f>+AA71+AA74-AA66</f>
        <v>5869</v>
      </c>
      <c r="AB90" s="5">
        <f>+AB71+AB74-AB66</f>
        <v>-12023</v>
      </c>
      <c r="AC90" s="5">
        <f>+AC71+AC74-AC66</f>
        <v>-19409</v>
      </c>
    </row>
    <row r="91" spans="1:29" x14ac:dyDescent="0.2">
      <c r="A91" t="s">
        <v>56</v>
      </c>
      <c r="B91" s="5">
        <f t="shared" ref="B91:O91" si="63">+B71+B74-B66+B79</f>
        <v>-3363</v>
      </c>
      <c r="C91" s="5">
        <f t="shared" si="63"/>
        <v>2827</v>
      </c>
      <c r="D91" s="5">
        <f t="shared" si="63"/>
        <v>-2071</v>
      </c>
      <c r="E91" s="5">
        <f t="shared" si="63"/>
        <v>-2530</v>
      </c>
      <c r="F91" s="5">
        <f t="shared" si="63"/>
        <v>-2277</v>
      </c>
      <c r="G91" s="5">
        <f t="shared" si="63"/>
        <v>13414</v>
      </c>
      <c r="H91" s="5">
        <f t="shared" si="63"/>
        <v>42448</v>
      </c>
      <c r="I91" s="5">
        <f t="shared" si="63"/>
        <v>21894</v>
      </c>
      <c r="J91" s="5">
        <f t="shared" si="63"/>
        <v>584</v>
      </c>
      <c r="K91" s="5">
        <f t="shared" si="63"/>
        <v>5285</v>
      </c>
      <c r="L91" s="5">
        <f t="shared" si="63"/>
        <v>-6681</v>
      </c>
      <c r="M91" s="5">
        <f t="shared" si="63"/>
        <v>-5342</v>
      </c>
      <c r="N91" s="5">
        <f t="shared" si="63"/>
        <v>-62923</v>
      </c>
      <c r="O91" s="5">
        <f t="shared" si="63"/>
        <v>43514</v>
      </c>
      <c r="W91" s="5">
        <f>+W71+W74-W66+W79</f>
        <v>-536</v>
      </c>
      <c r="X91" s="5">
        <f>+X71+X73-X66+X79</f>
        <v>-5662</v>
      </c>
      <c r="Y91" s="5">
        <f>+Y71+Y74-Y66+Y79</f>
        <v>11137</v>
      </c>
      <c r="Z91" s="5">
        <f>+Z71+Z74-Z66+Z79</f>
        <v>64342</v>
      </c>
      <c r="AA91" s="5">
        <f>+AA71+AA74-AA66+AA79</f>
        <v>5869</v>
      </c>
      <c r="AB91" s="5">
        <f>+AB71+AB74-AB66+AB79</f>
        <v>-12023</v>
      </c>
      <c r="AC91" s="5">
        <f>+AC71+AC74-AC66+AC79</f>
        <v>-19409</v>
      </c>
    </row>
    <row r="92" spans="1:29" x14ac:dyDescent="0.2">
      <c r="A92" t="s">
        <v>57</v>
      </c>
      <c r="B92" s="5">
        <f t="shared" ref="B92:O92" si="64">+B71+B74-B66+B79+B83</f>
        <v>-3363</v>
      </c>
      <c r="C92" s="5">
        <f t="shared" si="64"/>
        <v>2827</v>
      </c>
      <c r="D92" s="5">
        <f t="shared" si="64"/>
        <v>-2071</v>
      </c>
      <c r="E92" s="5">
        <f t="shared" si="64"/>
        <v>-2530</v>
      </c>
      <c r="F92" s="5">
        <f t="shared" si="64"/>
        <v>-2277</v>
      </c>
      <c r="G92" s="5">
        <f t="shared" si="64"/>
        <v>13414</v>
      </c>
      <c r="H92" s="5">
        <f t="shared" si="64"/>
        <v>42448</v>
      </c>
      <c r="I92" s="5">
        <f t="shared" si="64"/>
        <v>21894</v>
      </c>
      <c r="J92" s="5">
        <f t="shared" si="64"/>
        <v>584</v>
      </c>
      <c r="K92" s="5">
        <f t="shared" si="64"/>
        <v>5285</v>
      </c>
      <c r="L92" s="5">
        <f t="shared" si="64"/>
        <v>-6681</v>
      </c>
      <c r="M92" s="5">
        <f t="shared" si="64"/>
        <v>-5342</v>
      </c>
      <c r="N92" s="5">
        <f t="shared" si="64"/>
        <v>-62923</v>
      </c>
      <c r="O92" s="5">
        <f t="shared" si="64"/>
        <v>43514</v>
      </c>
      <c r="W92" s="5">
        <f>+W71+W74-W66+W79+W83</f>
        <v>-536</v>
      </c>
      <c r="X92" s="5">
        <f>+X71+X73-X66+X79+X83</f>
        <v>-5662</v>
      </c>
      <c r="Y92" s="5">
        <f>+Y71+Y74-Y66+Y79+Y83</f>
        <v>11137</v>
      </c>
      <c r="Z92" s="5">
        <f>+Z71+Z74-Z66+Z79+Z83</f>
        <v>64342</v>
      </c>
      <c r="AA92" s="5">
        <f>+AA71+AA74-AA66+AA79+AA83</f>
        <v>5869</v>
      </c>
      <c r="AB92" s="5">
        <f>+AB71+AB74-AB66+AB79+AB83</f>
        <v>-12023</v>
      </c>
      <c r="AC92" s="5">
        <f>+AC71+AC74-AC66+AC79+AC83</f>
        <v>-19409</v>
      </c>
    </row>
  </sheetData>
  <pageMargins left="0.7" right="0.7" top="0.75" bottom="0.75" header="0.3" footer="0.3"/>
  <ignoredErrors>
    <ignoredError sqref="W77:AC77 B77 D77 F77 H77 J77 L77 N77" formulaRange="1"/>
    <ignoredError sqref="E17 E7 G7 I7 K7 K17 G17 M7 M17 O7 O17 X89:X92 K7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2024-04-16T07:11:53Z</dcterms:created>
  <dcterms:modified xsi:type="dcterms:W3CDTF">2024-08-22T10:57:01Z</dcterms:modified>
</cp:coreProperties>
</file>