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formation Technology\"/>
    </mc:Choice>
  </mc:AlternateContent>
  <xr:revisionPtr revIDLastSave="0" documentId="13_ncr:1_{B5BFB8B7-0633-40EE-B63C-DBCCC09D08D2}" xr6:coauthVersionLast="47" xr6:coauthVersionMax="47" xr10:uidLastSave="{00000000-0000-0000-0000-000000000000}"/>
  <bookViews>
    <workbookView xWindow="14550" yWindow="0" windowWidth="14145" windowHeight="15495" activeTab="1" xr2:uid="{15858259-CFDB-4228-B5CA-1349CB80709B}"/>
  </bookViews>
  <sheets>
    <sheet name="Main" sheetId="1" r:id="rId1"/>
    <sheet name="Model" sheetId="2" r:id="rId2"/>
    <sheet name="Segment" sheetId="4" r:id="rId3"/>
    <sheet name="Geographic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6" i="1"/>
  <c r="L5" i="1"/>
  <c r="AH9" i="2"/>
  <c r="G32" i="3"/>
  <c r="G28" i="3"/>
  <c r="G20" i="3"/>
  <c r="G16" i="3"/>
  <c r="G12" i="3"/>
  <c r="G8" i="3"/>
  <c r="G4" i="3"/>
  <c r="K32" i="3"/>
  <c r="K28" i="3"/>
  <c r="K20" i="3"/>
  <c r="K16" i="3"/>
  <c r="K12" i="3"/>
  <c r="K8" i="3"/>
  <c r="K4" i="3"/>
  <c r="G23" i="3"/>
  <c r="G24" i="3" s="1"/>
  <c r="K23" i="3"/>
  <c r="G40" i="4"/>
  <c r="G41" i="4"/>
  <c r="G39" i="4"/>
  <c r="G33" i="4"/>
  <c r="G30" i="4"/>
  <c r="G27" i="4"/>
  <c r="G24" i="4"/>
  <c r="G16" i="4"/>
  <c r="G12" i="4"/>
  <c r="G8" i="4"/>
  <c r="G4" i="4"/>
  <c r="K12" i="4"/>
  <c r="K4" i="4"/>
  <c r="K33" i="4"/>
  <c r="K30" i="4"/>
  <c r="K27" i="4"/>
  <c r="K24" i="4"/>
  <c r="K16" i="4"/>
  <c r="K8" i="4"/>
  <c r="G19" i="4"/>
  <c r="G13" i="4" s="1"/>
  <c r="G35" i="4"/>
  <c r="G36" i="4" s="1"/>
  <c r="K41" i="4"/>
  <c r="K40" i="4"/>
  <c r="K39" i="4"/>
  <c r="K35" i="4"/>
  <c r="K36" i="4" s="1"/>
  <c r="K19" i="4"/>
  <c r="K9" i="4" s="1"/>
  <c r="S74" i="2"/>
  <c r="S80" i="2" s="1"/>
  <c r="S71" i="2"/>
  <c r="S72" i="2" s="1"/>
  <c r="S66" i="2"/>
  <c r="S67" i="2" s="1"/>
  <c r="S83" i="2" s="1"/>
  <c r="S48" i="2"/>
  <c r="S53" i="2" s="1"/>
  <c r="S55" i="2" s="1"/>
  <c r="S45" i="2"/>
  <c r="S40" i="2"/>
  <c r="AH25" i="2"/>
  <c r="S25" i="2"/>
  <c r="S37" i="2"/>
  <c r="S23" i="2"/>
  <c r="S19" i="2"/>
  <c r="S32" i="2" s="1"/>
  <c r="N41" i="4"/>
  <c r="N40" i="4"/>
  <c r="N39" i="4"/>
  <c r="O4" i="4"/>
  <c r="O8" i="4"/>
  <c r="O12" i="4"/>
  <c r="O16" i="4"/>
  <c r="O24" i="4"/>
  <c r="O27" i="4"/>
  <c r="O30" i="4"/>
  <c r="O33" i="4"/>
  <c r="N35" i="4"/>
  <c r="N19" i="4"/>
  <c r="P33" i="4"/>
  <c r="P30" i="4"/>
  <c r="P27" i="4"/>
  <c r="P24" i="4"/>
  <c r="P16" i="4"/>
  <c r="P12" i="4"/>
  <c r="P8" i="4"/>
  <c r="P4" i="4"/>
  <c r="O41" i="4"/>
  <c r="O40" i="4"/>
  <c r="O39" i="4"/>
  <c r="P41" i="4"/>
  <c r="P40" i="4"/>
  <c r="P39" i="4"/>
  <c r="P2" i="4"/>
  <c r="O16" i="3"/>
  <c r="O32" i="3"/>
  <c r="O28" i="3"/>
  <c r="O20" i="3"/>
  <c r="O12" i="3"/>
  <c r="O8" i="3"/>
  <c r="O4" i="3"/>
  <c r="O2" i="3"/>
  <c r="F26" i="1"/>
  <c r="F25" i="1"/>
  <c r="F24" i="1"/>
  <c r="F23" i="1"/>
  <c r="E27" i="1"/>
  <c r="G26" i="1" s="1"/>
  <c r="D27" i="1"/>
  <c r="AG8" i="2"/>
  <c r="AH8" i="2"/>
  <c r="K24" i="3" l="1"/>
  <c r="K35" i="3"/>
  <c r="K29" i="3" s="1"/>
  <c r="G35" i="3"/>
  <c r="G17" i="3" s="1"/>
  <c r="K54" i="4"/>
  <c r="K46" i="4"/>
  <c r="K50" i="4"/>
  <c r="G46" i="4"/>
  <c r="G47" i="4" s="1"/>
  <c r="G54" i="4"/>
  <c r="G55" i="4" s="1"/>
  <c r="G50" i="4"/>
  <c r="G51" i="4" s="1"/>
  <c r="G17" i="4"/>
  <c r="G9" i="4"/>
  <c r="G20" i="4"/>
  <c r="K5" i="4"/>
  <c r="K20" i="4"/>
  <c r="K17" i="4"/>
  <c r="K13" i="4"/>
  <c r="G5" i="4"/>
  <c r="S81" i="2"/>
  <c r="S39" i="2"/>
  <c r="S47" i="2"/>
  <c r="S24" i="2"/>
  <c r="S26" i="2" s="1"/>
  <c r="S35" i="2" s="1"/>
  <c r="O35" i="4"/>
  <c r="O36" i="4" s="1"/>
  <c r="P35" i="4"/>
  <c r="F27" i="1"/>
  <c r="G23" i="1"/>
  <c r="G24" i="1"/>
  <c r="G25" i="1"/>
  <c r="R70" i="2"/>
  <c r="R48" i="2"/>
  <c r="R53" i="2" s="1"/>
  <c r="R55" i="2" s="1"/>
  <c r="R45" i="2"/>
  <c r="R40" i="2"/>
  <c r="R30" i="2"/>
  <c r="R27" i="2"/>
  <c r="R22" i="2"/>
  <c r="R21" i="2"/>
  <c r="R20" i="2"/>
  <c r="R18" i="2"/>
  <c r="R17" i="2"/>
  <c r="AH74" i="2"/>
  <c r="AH71" i="2"/>
  <c r="AH72" i="2" s="1"/>
  <c r="AH66" i="2"/>
  <c r="AH48" i="2"/>
  <c r="AH53" i="2" s="1"/>
  <c r="AH55" i="2" s="1"/>
  <c r="AH45" i="2"/>
  <c r="AH40" i="2"/>
  <c r="AH37" i="2"/>
  <c r="AH23" i="2"/>
  <c r="AH19" i="2"/>
  <c r="AH32" i="2" s="1"/>
  <c r="Q48" i="2"/>
  <c r="Q53" i="2" s="1"/>
  <c r="Q55" i="2" s="1"/>
  <c r="Q45" i="2"/>
  <c r="Q40" i="2"/>
  <c r="X25" i="2"/>
  <c r="Y25" i="2"/>
  <c r="Z25" i="2"/>
  <c r="AA25" i="2"/>
  <c r="AB25" i="2"/>
  <c r="AC25" i="2"/>
  <c r="AD25" i="2"/>
  <c r="AE25" i="2"/>
  <c r="AF25" i="2"/>
  <c r="AG25" i="2"/>
  <c r="C25" i="2"/>
  <c r="D25" i="2"/>
  <c r="E25" i="2"/>
  <c r="G25" i="2"/>
  <c r="H25" i="2"/>
  <c r="I25" i="2"/>
  <c r="K25" i="2"/>
  <c r="L25" i="2"/>
  <c r="M25" i="2"/>
  <c r="O25" i="2"/>
  <c r="P25" i="2"/>
  <c r="Q25" i="2"/>
  <c r="Q37" i="2"/>
  <c r="Q23" i="2"/>
  <c r="Q19" i="2"/>
  <c r="P79" i="2"/>
  <c r="Q79" i="2" s="1"/>
  <c r="P78" i="2"/>
  <c r="Q78" i="2" s="1"/>
  <c r="P77" i="2"/>
  <c r="Q77" i="2" s="1"/>
  <c r="P76" i="2"/>
  <c r="Q76" i="2" s="1"/>
  <c r="R76" i="2" s="1"/>
  <c r="P75" i="2"/>
  <c r="P69" i="2"/>
  <c r="Q69" i="2" s="1"/>
  <c r="P65" i="2"/>
  <c r="Q65" i="2" s="1"/>
  <c r="P64" i="2"/>
  <c r="Q64" i="2" s="1"/>
  <c r="P63" i="2"/>
  <c r="Q63" i="2" s="1"/>
  <c r="P62" i="2"/>
  <c r="Q62" i="2" s="1"/>
  <c r="P61" i="2"/>
  <c r="O74" i="2"/>
  <c r="P74" i="2" s="1"/>
  <c r="O71" i="2"/>
  <c r="P71" i="2" s="1"/>
  <c r="O66" i="2"/>
  <c r="P66" i="2" s="1"/>
  <c r="K25" i="3" l="1"/>
  <c r="K9" i="3"/>
  <c r="G33" i="3"/>
  <c r="K13" i="3"/>
  <c r="K17" i="3"/>
  <c r="G13" i="3"/>
  <c r="G21" i="3"/>
  <c r="G5" i="3"/>
  <c r="K33" i="3"/>
  <c r="K21" i="3"/>
  <c r="G9" i="3"/>
  <c r="K5" i="3"/>
  <c r="G25" i="3"/>
  <c r="G29" i="3"/>
  <c r="K36" i="3"/>
  <c r="K45" i="3"/>
  <c r="K41" i="3"/>
  <c r="K51" i="4"/>
  <c r="K47" i="4"/>
  <c r="K55" i="4"/>
  <c r="S28" i="2"/>
  <c r="S33" i="2"/>
  <c r="P36" i="4"/>
  <c r="R39" i="2"/>
  <c r="Q47" i="2"/>
  <c r="R62" i="2"/>
  <c r="R77" i="2"/>
  <c r="Q61" i="2"/>
  <c r="R61" i="2" s="1"/>
  <c r="R78" i="2"/>
  <c r="R25" i="2"/>
  <c r="R23" i="2"/>
  <c r="R79" i="2"/>
  <c r="R63" i="2"/>
  <c r="R19" i="2"/>
  <c r="R32" i="2" s="1"/>
  <c r="AH80" i="2"/>
  <c r="AH67" i="2"/>
  <c r="R69" i="2"/>
  <c r="R64" i="2"/>
  <c r="R65" i="2"/>
  <c r="Q75" i="2"/>
  <c r="R75" i="2" s="1"/>
  <c r="F25" i="2"/>
  <c r="R47" i="2"/>
  <c r="AH47" i="2"/>
  <c r="AH39" i="2"/>
  <c r="AH24" i="2"/>
  <c r="AH33" i="2" s="1"/>
  <c r="Q74" i="2"/>
  <c r="Q39" i="2"/>
  <c r="N25" i="2"/>
  <c r="Q66" i="2"/>
  <c r="J25" i="2"/>
  <c r="Q71" i="2"/>
  <c r="Q72" i="2" s="1"/>
  <c r="P72" i="2"/>
  <c r="O72" i="2"/>
  <c r="Q24" i="2"/>
  <c r="Q33" i="2" s="1"/>
  <c r="Q32" i="2"/>
  <c r="P67" i="2"/>
  <c r="P83" i="2" s="1"/>
  <c r="P80" i="2"/>
  <c r="O67" i="2"/>
  <c r="O83" i="2" s="1"/>
  <c r="O80" i="2"/>
  <c r="M48" i="2"/>
  <c r="M53" i="2" s="1"/>
  <c r="M55" i="2" s="1"/>
  <c r="M45" i="2"/>
  <c r="M40" i="2"/>
  <c r="N48" i="2"/>
  <c r="N53" i="2" s="1"/>
  <c r="N55" i="2" s="1"/>
  <c r="N45" i="2"/>
  <c r="N40" i="2"/>
  <c r="O48" i="2"/>
  <c r="O53" i="2" s="1"/>
  <c r="O55" i="2" s="1"/>
  <c r="O45" i="2"/>
  <c r="O40" i="2"/>
  <c r="P48" i="2"/>
  <c r="P53" i="2" s="1"/>
  <c r="P55" i="2" s="1"/>
  <c r="P45" i="2"/>
  <c r="P40" i="2"/>
  <c r="S29" i="2" l="1"/>
  <c r="S60" i="2"/>
  <c r="S34" i="2"/>
  <c r="Q67" i="2"/>
  <c r="Q83" i="2" s="1"/>
  <c r="P39" i="2"/>
  <c r="Q80" i="2"/>
  <c r="R71" i="2"/>
  <c r="R72" i="2" s="1"/>
  <c r="R24" i="2"/>
  <c r="R66" i="2"/>
  <c r="R67" i="2" s="1"/>
  <c r="R83" i="2" s="1"/>
  <c r="AH83" i="2"/>
  <c r="AH81" i="2"/>
  <c r="R74" i="2"/>
  <c r="R80" i="2" s="1"/>
  <c r="AH26" i="2"/>
  <c r="AH35" i="2" s="1"/>
  <c r="Q26" i="2"/>
  <c r="Q35" i="2" s="1"/>
  <c r="P81" i="2"/>
  <c r="O81" i="2"/>
  <c r="O47" i="2"/>
  <c r="P47" i="2"/>
  <c r="M39" i="2"/>
  <c r="M47" i="2"/>
  <c r="N47" i="2"/>
  <c r="N39" i="2"/>
  <c r="O39" i="2"/>
  <c r="X23" i="2"/>
  <c r="X19" i="2"/>
  <c r="X32" i="2" s="1"/>
  <c r="Y37" i="2"/>
  <c r="Y23" i="2"/>
  <c r="Y19" i="2"/>
  <c r="Z37" i="2"/>
  <c r="Z23" i="2"/>
  <c r="Z19" i="2"/>
  <c r="Z32" i="2" s="1"/>
  <c r="AA37" i="2"/>
  <c r="AA23" i="2"/>
  <c r="AA19" i="2"/>
  <c r="AB37" i="2"/>
  <c r="AB23" i="2"/>
  <c r="AB19" i="2"/>
  <c r="AB32" i="2" s="1"/>
  <c r="AC37" i="2"/>
  <c r="AC23" i="2"/>
  <c r="AC19" i="2"/>
  <c r="AC32" i="2" s="1"/>
  <c r="AD23" i="2"/>
  <c r="AE23" i="2"/>
  <c r="AD37" i="2"/>
  <c r="AD19" i="2"/>
  <c r="AD32" i="2" s="1"/>
  <c r="F30" i="2"/>
  <c r="F27" i="2"/>
  <c r="F22" i="2"/>
  <c r="F21" i="2"/>
  <c r="F20" i="2"/>
  <c r="F18" i="2"/>
  <c r="F17" i="2"/>
  <c r="E23" i="2"/>
  <c r="E19" i="2"/>
  <c r="E32" i="2" s="1"/>
  <c r="C23" i="2"/>
  <c r="C19" i="2"/>
  <c r="C32" i="2" s="1"/>
  <c r="I37" i="2"/>
  <c r="H37" i="2"/>
  <c r="G37" i="2"/>
  <c r="K37" i="2"/>
  <c r="G23" i="2"/>
  <c r="G19" i="2"/>
  <c r="D23" i="2"/>
  <c r="D19" i="2"/>
  <c r="H23" i="2"/>
  <c r="H19" i="2"/>
  <c r="H32" i="2" s="1"/>
  <c r="J30" i="2"/>
  <c r="J27" i="2"/>
  <c r="J22" i="2"/>
  <c r="J21" i="2"/>
  <c r="J20" i="2"/>
  <c r="J18" i="2"/>
  <c r="J17" i="2"/>
  <c r="N30" i="2"/>
  <c r="N27" i="2"/>
  <c r="N22" i="2"/>
  <c r="N21" i="2"/>
  <c r="N20" i="2"/>
  <c r="N18" i="2"/>
  <c r="N17" i="2"/>
  <c r="AE37" i="2"/>
  <c r="AE19" i="2"/>
  <c r="AF37" i="2"/>
  <c r="AF23" i="2"/>
  <c r="AF19" i="2"/>
  <c r="AF32" i="2" s="1"/>
  <c r="AG37" i="2"/>
  <c r="AG23" i="2"/>
  <c r="AG19" i="2"/>
  <c r="AG32" i="2" s="1"/>
  <c r="M37" i="2"/>
  <c r="I23" i="2"/>
  <c r="I19" i="2"/>
  <c r="M23" i="2"/>
  <c r="M19" i="2"/>
  <c r="M32" i="2" s="1"/>
  <c r="O37" i="2"/>
  <c r="K23" i="2"/>
  <c r="K19" i="2"/>
  <c r="O23" i="2"/>
  <c r="O19" i="2"/>
  <c r="O32" i="2" s="1"/>
  <c r="L37" i="2"/>
  <c r="L23" i="2"/>
  <c r="L19" i="2"/>
  <c r="P37" i="2"/>
  <c r="P23" i="2"/>
  <c r="P19" i="2"/>
  <c r="P32" i="2" s="1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L4" i="1"/>
  <c r="S84" i="2" l="1"/>
  <c r="R84" i="2"/>
  <c r="L7" i="1"/>
  <c r="Q81" i="2"/>
  <c r="R81" i="2"/>
  <c r="N37" i="2"/>
  <c r="R37" i="2"/>
  <c r="R33" i="2"/>
  <c r="R26" i="2"/>
  <c r="Q28" i="2"/>
  <c r="Q60" i="2" s="1"/>
  <c r="AH28" i="2"/>
  <c r="N19" i="2"/>
  <c r="N32" i="2" s="1"/>
  <c r="N23" i="2"/>
  <c r="F19" i="2"/>
  <c r="F32" i="2" s="1"/>
  <c r="AD24" i="2"/>
  <c r="F23" i="2"/>
  <c r="P24" i="2"/>
  <c r="P26" i="2" s="1"/>
  <c r="P28" i="2" s="1"/>
  <c r="X24" i="2"/>
  <c r="Y24" i="2"/>
  <c r="Y26" i="2" s="1"/>
  <c r="Y32" i="2"/>
  <c r="Z24" i="2"/>
  <c r="AA24" i="2"/>
  <c r="AA33" i="2" s="1"/>
  <c r="AA32" i="2"/>
  <c r="AB24" i="2"/>
  <c r="AB33" i="2" s="1"/>
  <c r="AC24" i="2"/>
  <c r="E24" i="2"/>
  <c r="C24" i="2"/>
  <c r="G24" i="2"/>
  <c r="G33" i="2" s="1"/>
  <c r="J37" i="2"/>
  <c r="G32" i="2"/>
  <c r="D24" i="2"/>
  <c r="D33" i="2" s="1"/>
  <c r="D32" i="2"/>
  <c r="J23" i="2"/>
  <c r="H24" i="2"/>
  <c r="H26" i="2" s="1"/>
  <c r="J19" i="2"/>
  <c r="J32" i="2" s="1"/>
  <c r="AE24" i="2"/>
  <c r="AE33" i="2" s="1"/>
  <c r="AE32" i="2"/>
  <c r="AF24" i="2"/>
  <c r="AG24" i="2"/>
  <c r="I24" i="2"/>
  <c r="I33" i="2" s="1"/>
  <c r="I32" i="2"/>
  <c r="M24" i="2"/>
  <c r="K24" i="2"/>
  <c r="K26" i="2" s="1"/>
  <c r="K32" i="2"/>
  <c r="O24" i="2"/>
  <c r="L24" i="2"/>
  <c r="L26" i="2" s="1"/>
  <c r="L32" i="2"/>
  <c r="P60" i="2" l="1"/>
  <c r="Q34" i="2"/>
  <c r="Q29" i="2"/>
  <c r="AH34" i="2"/>
  <c r="AH57" i="2"/>
  <c r="AH58" i="2" s="1"/>
  <c r="AH60" i="2"/>
  <c r="R28" i="2"/>
  <c r="S57" i="2" s="1"/>
  <c r="S58" i="2" s="1"/>
  <c r="R35" i="2"/>
  <c r="AH29" i="2"/>
  <c r="F24" i="2"/>
  <c r="F26" i="2" s="1"/>
  <c r="N24" i="2"/>
  <c r="P33" i="2"/>
  <c r="P35" i="2"/>
  <c r="X26" i="2"/>
  <c r="X33" i="2"/>
  <c r="Y33" i="2"/>
  <c r="Y35" i="2"/>
  <c r="Y28" i="2"/>
  <c r="Z26" i="2"/>
  <c r="Z33" i="2"/>
  <c r="AA26" i="2"/>
  <c r="AA28" i="2" s="1"/>
  <c r="AB26" i="2"/>
  <c r="AB35" i="2" s="1"/>
  <c r="AC33" i="2"/>
  <c r="AC26" i="2"/>
  <c r="AD33" i="2"/>
  <c r="AD26" i="2"/>
  <c r="E33" i="2"/>
  <c r="E26" i="2"/>
  <c r="C33" i="2"/>
  <c r="C26" i="2"/>
  <c r="G26" i="2"/>
  <c r="G35" i="2" s="1"/>
  <c r="D26" i="2"/>
  <c r="D35" i="2" s="1"/>
  <c r="H33" i="2"/>
  <c r="J24" i="2"/>
  <c r="H35" i="2"/>
  <c r="H28" i="2"/>
  <c r="AE26" i="2"/>
  <c r="AE35" i="2" s="1"/>
  <c r="AF33" i="2"/>
  <c r="AF26" i="2"/>
  <c r="AG33" i="2"/>
  <c r="AG26" i="2"/>
  <c r="I26" i="2"/>
  <c r="I35" i="2" s="1"/>
  <c r="M26" i="2"/>
  <c r="M33" i="2"/>
  <c r="K33" i="2"/>
  <c r="K35" i="2"/>
  <c r="K28" i="2"/>
  <c r="O33" i="2"/>
  <c r="O26" i="2"/>
  <c r="P29" i="2"/>
  <c r="P34" i="2"/>
  <c r="L33" i="2"/>
  <c r="L35" i="2"/>
  <c r="L28" i="2"/>
  <c r="R60" i="2" l="1"/>
  <c r="R29" i="2"/>
  <c r="R34" i="2"/>
  <c r="F33" i="2"/>
  <c r="N26" i="2"/>
  <c r="N33" i="2"/>
  <c r="F28" i="2"/>
  <c r="F35" i="2"/>
  <c r="X35" i="2"/>
  <c r="X28" i="2"/>
  <c r="Y34" i="2"/>
  <c r="Y29" i="2"/>
  <c r="Z35" i="2"/>
  <c r="Z28" i="2"/>
  <c r="AA35" i="2"/>
  <c r="AA34" i="2"/>
  <c r="AA29" i="2"/>
  <c r="AB28" i="2"/>
  <c r="AB34" i="2" s="1"/>
  <c r="AC35" i="2"/>
  <c r="AC28" i="2"/>
  <c r="AD35" i="2"/>
  <c r="AD28" i="2"/>
  <c r="E35" i="2"/>
  <c r="E28" i="2"/>
  <c r="C35" i="2"/>
  <c r="C28" i="2"/>
  <c r="G28" i="2"/>
  <c r="G34" i="2" s="1"/>
  <c r="D28" i="2"/>
  <c r="D34" i="2" s="1"/>
  <c r="H34" i="2"/>
  <c r="H29" i="2"/>
  <c r="J33" i="2"/>
  <c r="J26" i="2"/>
  <c r="AE28" i="2"/>
  <c r="AE34" i="2" s="1"/>
  <c r="AF35" i="2"/>
  <c r="AF28" i="2"/>
  <c r="AG35" i="2"/>
  <c r="AG28" i="2"/>
  <c r="I28" i="2"/>
  <c r="I29" i="2" s="1"/>
  <c r="M35" i="2"/>
  <c r="M28" i="2"/>
  <c r="K34" i="2"/>
  <c r="K29" i="2"/>
  <c r="O35" i="2"/>
  <c r="O28" i="2"/>
  <c r="L34" i="2"/>
  <c r="L29" i="2"/>
  <c r="O60" i="2" l="1"/>
  <c r="R57" i="2"/>
  <c r="R58" i="2" s="1"/>
  <c r="AE29" i="2"/>
  <c r="N28" i="2"/>
  <c r="N35" i="2"/>
  <c r="F34" i="2"/>
  <c r="F29" i="2"/>
  <c r="X34" i="2"/>
  <c r="X29" i="2"/>
  <c r="Z34" i="2"/>
  <c r="Z29" i="2"/>
  <c r="AB29" i="2"/>
  <c r="AC34" i="2"/>
  <c r="AC29" i="2"/>
  <c r="AD34" i="2"/>
  <c r="AD29" i="2"/>
  <c r="E34" i="2"/>
  <c r="E29" i="2"/>
  <c r="C34" i="2"/>
  <c r="C29" i="2"/>
  <c r="G29" i="2"/>
  <c r="D29" i="2"/>
  <c r="J28" i="2"/>
  <c r="M57" i="2" s="1"/>
  <c r="J35" i="2"/>
  <c r="AF34" i="2"/>
  <c r="AF29" i="2"/>
  <c r="AG34" i="2"/>
  <c r="AG29" i="2"/>
  <c r="I34" i="2"/>
  <c r="M34" i="2"/>
  <c r="M29" i="2"/>
  <c r="O34" i="2"/>
  <c r="O29" i="2"/>
  <c r="O57" i="2" l="1"/>
  <c r="O58" i="2" s="1"/>
  <c r="Q57" i="2"/>
  <c r="Q58" i="2" s="1"/>
  <c r="P57" i="2"/>
  <c r="P58" i="2" s="1"/>
  <c r="N57" i="2"/>
  <c r="N34" i="2"/>
  <c r="N29" i="2"/>
  <c r="M58" i="2"/>
  <c r="J34" i="2"/>
  <c r="J29" i="2"/>
  <c r="N58" i="2" l="1"/>
  <c r="N5" i="3" l="1"/>
  <c r="O5" i="3"/>
  <c r="N9" i="3"/>
  <c r="O9" i="3"/>
  <c r="N13" i="3"/>
  <c r="O13" i="3"/>
  <c r="N17" i="3"/>
  <c r="O17" i="3"/>
  <c r="N21" i="3"/>
  <c r="O21" i="3"/>
  <c r="N23" i="3"/>
  <c r="O23" i="3"/>
  <c r="O24" i="3"/>
  <c r="N25" i="3"/>
  <c r="O25" i="3"/>
  <c r="N29" i="3"/>
  <c r="O29" i="3"/>
  <c r="N33" i="3"/>
  <c r="O33" i="3"/>
  <c r="N35" i="3"/>
  <c r="O35" i="3"/>
  <c r="O36" i="3"/>
  <c r="O5" i="4"/>
  <c r="P5" i="4"/>
  <c r="O9" i="4"/>
  <c r="P9" i="4"/>
  <c r="O13" i="4"/>
  <c r="P13" i="4"/>
  <c r="O17" i="4"/>
  <c r="P17" i="4"/>
  <c r="O19" i="4"/>
  <c r="P19" i="4"/>
  <c r="O20" i="4"/>
  <c r="P20" i="4"/>
</calcChain>
</file>

<file path=xl/sharedStrings.xml><?xml version="1.0" encoding="utf-8"?>
<sst xmlns="http://schemas.openxmlformats.org/spreadsheetml/2006/main" count="233" uniqueCount="128">
  <si>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</si>
  <si>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</si>
  <si>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</si>
  <si>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</si>
  <si>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</si>
  <si>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</si>
  <si>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</si>
  <si>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</si>
  <si>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</si>
  <si>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</si>
  <si>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G&amp;A</t>
  </si>
  <si>
    <t>M&amp;S</t>
  </si>
  <si>
    <t>OpEx</t>
  </si>
  <si>
    <t>OpInc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</si>
  <si>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</si>
  <si>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</si>
  <si>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</si>
  <si>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</si>
  <si>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</si>
  <si>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</si>
  <si>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</si>
  <si>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</si>
  <si>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</si>
  <si>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</si>
  <si>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</si>
  <si>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</si>
  <si>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</si>
  <si>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</si>
  <si>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</si>
  <si>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</si>
  <si>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</si>
  <si>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</si>
  <si>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</si>
  <si>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</si>
  <si>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</si>
  <si>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</si>
  <si>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</si>
  <si>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</si>
  <si>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</si>
  <si>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</si>
  <si>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Net cash</t>
  </si>
  <si>
    <t>A/R</t>
  </si>
  <si>
    <t>Inventories</t>
  </si>
  <si>
    <t>Other</t>
  </si>
  <si>
    <t>PP&amp;E</t>
  </si>
  <si>
    <t>Goodwill</t>
  </si>
  <si>
    <t>DT</t>
  </si>
  <si>
    <t>Assets</t>
  </si>
  <si>
    <t>A/P</t>
  </si>
  <si>
    <t>Contract liabilties</t>
  </si>
  <si>
    <t>Tax payable</t>
  </si>
  <si>
    <t>Liabilties</t>
  </si>
  <si>
    <t>S/E</t>
  </si>
  <si>
    <t>L+S/E</t>
  </si>
  <si>
    <t>TTM cash flow</t>
  </si>
  <si>
    <t>Model NI</t>
  </si>
  <si>
    <t>Reported NI</t>
  </si>
  <si>
    <t>D&amp;A</t>
  </si>
  <si>
    <t>SBC</t>
  </si>
  <si>
    <t>Working capital</t>
  </si>
  <si>
    <t>CFFO</t>
  </si>
  <si>
    <t>CapEx</t>
  </si>
  <si>
    <t>Acquisitions</t>
  </si>
  <si>
    <t>Investments</t>
  </si>
  <si>
    <t>CFFI</t>
  </si>
  <si>
    <t>Tax equity awards</t>
  </si>
  <si>
    <t>Dividends</t>
  </si>
  <si>
    <t>Stock issuance</t>
  </si>
  <si>
    <t>Buybbacks</t>
  </si>
  <si>
    <t>Repayments leases</t>
  </si>
  <si>
    <t>CFFF</t>
  </si>
  <si>
    <t>CIC</t>
  </si>
  <si>
    <t>FCF</t>
  </si>
  <si>
    <t>TTM</t>
  </si>
  <si>
    <t>ROTA</t>
  </si>
  <si>
    <t>Q125</t>
  </si>
  <si>
    <t>Semiconductor Systems</t>
  </si>
  <si>
    <t>Display</t>
  </si>
  <si>
    <t>Primarily used in 300mm equipment</t>
  </si>
  <si>
    <t>DRAM</t>
  </si>
  <si>
    <t>Flash memory</t>
  </si>
  <si>
    <t>Markets</t>
  </si>
  <si>
    <t>Leading edge are the most advanced technology nodes</t>
  </si>
  <si>
    <t>Non-leading edge technology nodes serve markets like internet of things, communication, automotive, power and sensors</t>
  </si>
  <si>
    <t>Tech support and upgrade team</t>
  </si>
  <si>
    <t>Build and sell some older types of chip-making</t>
  </si>
  <si>
    <t>Help factories improve performance and productivity machines</t>
  </si>
  <si>
    <t>Have people and supplies all over the world</t>
  </si>
  <si>
    <t>Applied Global Services (AGS);</t>
  </si>
  <si>
    <t>Display;</t>
  </si>
  <si>
    <t>LCDs, OLEDs and other display technologies, TVs, monitors, laptops, PCs, tablets, smartphones</t>
  </si>
  <si>
    <t>There tech is also used to help make solar panels</t>
  </si>
  <si>
    <t>Flexable big sheets of glass for ultra -clear TVs or bendy  phone displays</t>
  </si>
  <si>
    <t>Glass screens helps with new ways of packaging computer chips</t>
  </si>
  <si>
    <t>Every step of chip making, tiny transistors to connecting chips together</t>
  </si>
  <si>
    <t>Help chipmakers make chips that are faster, more powerful, and use less energy</t>
  </si>
  <si>
    <t>Some tools they make are for:</t>
  </si>
  <si>
    <t>Patterning - carving super small designs into the chip</t>
  </si>
  <si>
    <t>Building transitors and connections - tiny parts that move electricity around</t>
  </si>
  <si>
    <t>Inspection - checking that everthing is working and nothing is mesed up</t>
  </si>
  <si>
    <t>Packaging - putting multiple chips together in new ways so they can do more</t>
  </si>
  <si>
    <t>Backlog</t>
  </si>
  <si>
    <t>AGS</t>
  </si>
  <si>
    <t>Corporate &amp; Other</t>
  </si>
  <si>
    <t>Total</t>
  </si>
  <si>
    <t>Samsung Electronics</t>
  </si>
  <si>
    <t>Taiwan Semiconductor Manufacturing Company</t>
  </si>
  <si>
    <t>Segment</t>
  </si>
  <si>
    <t>margin</t>
  </si>
  <si>
    <t>y/y</t>
  </si>
  <si>
    <r>
      <rPr>
        <b/>
        <u/>
        <sz val="10"/>
        <color theme="1"/>
        <rFont val="Arial"/>
        <family val="2"/>
      </rPr>
      <t>Customers</t>
    </r>
    <r>
      <rPr>
        <sz val="10"/>
        <color theme="1"/>
        <rFont val="arial"/>
        <family val="2"/>
      </rPr>
      <t xml:space="preserve"> accounting for at least 10 percent of the net revenue (fiscal years) in multiple reportable segments</t>
    </r>
  </si>
  <si>
    <t>Foundry, logic &amp; Other</t>
  </si>
  <si>
    <t>China</t>
  </si>
  <si>
    <t>Korea</t>
  </si>
  <si>
    <t>Taiwan</t>
  </si>
  <si>
    <t>Japan</t>
  </si>
  <si>
    <t>Southeast Asia</t>
  </si>
  <si>
    <t>Asia Pacific</t>
  </si>
  <si>
    <t>United States</t>
  </si>
  <si>
    <t>Europe</t>
  </si>
  <si>
    <t>Main</t>
  </si>
  <si>
    <t>Operating Income</t>
  </si>
  <si>
    <t>Segments</t>
  </si>
  <si>
    <t>China, Korea, Taiwan, Japan, Southeast Asia, United States, Europe</t>
  </si>
  <si>
    <t>Intel Corporation</t>
  </si>
  <si>
    <t>*Less then 10%</t>
  </si>
  <si>
    <t>*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</si>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</sst>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7" formatCode="d/mm/yy;@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4" fontId="0" fillId="0" borderId="0" xfId="0" applyNumberFormat="1"/>
    <xf numFmtId="167" fontId="0" fillId="0" borderId="0" xfId="0" applyNumberFormat="1"/>
    <xf numFmtId="9" fontId="0" fillId="0" borderId="0" xfId="0" applyNumberFormat="1" applyFont="1"/>
    <xf numFmtId="3" fontId="0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Font="1"/>
    <xf numFmtId="0" fontId="2" fillId="0" borderId="0" xfId="0" applyFont="1" applyAlignment="1">
      <alignment horizontal="left" indent="2"/>
    </xf>
    <xf numFmtId="0" fontId="3" fillId="0" borderId="0" xfId="0" applyFont="1"/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1" xfId="0" applyBorder="1"/>
    <xf numFmtId="3" fontId="0" fillId="0" borderId="1" xfId="0" applyNumberFormat="1" applyBorder="1" applyAlignment="1">
      <alignment horizontal="right"/>
    </xf>
    <xf numFmtId="9" fontId="0" fillId="0" borderId="1" xfId="0" applyNumberFormat="1" applyBorder="1"/>
    <xf numFmtId="0" fontId="1" fillId="0" borderId="0" xfId="0" applyNumberFormat="1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167" fontId="4" fillId="0" borderId="0" xfId="1" applyNumberFormat="1"/>
    <xf numFmtId="3" fontId="0" fillId="0" borderId="0" xfId="0" applyNumberFormat="1" applyBorder="1"/>
    <xf numFmtId="9" fontId="0" fillId="0" borderId="0" xfId="0" applyNumberFormat="1" applyBorder="1"/>
    <xf numFmtId="3" fontId="0" fillId="2" borderId="0" xfId="0" applyNumberFormat="1" applyFill="1"/>
    <xf numFmtId="3" fontId="0" fillId="2" borderId="0" xfId="0" applyNumberFormat="1" applyFill="1" applyBorder="1"/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left"/>
    </xf>
    <xf numFmtId="0" fontId="0" fillId="0" borderId="0" xfId="0" applyBorder="1"/>
    <xf numFmtId="3" fontId="0" fillId="0" borderId="0" xfId="0" applyNumberFormat="1" applyBorder="1" applyAlignment="1">
      <alignment horizontal="right"/>
    </xf>
    <xf numFmtId="9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right"/>
    </xf>
    <xf numFmtId="3" fontId="1" fillId="0" borderId="0" xfId="0" applyNumberFormat="1" applyFont="1" applyBorder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right"/>
    </xf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5" fillId="0" borderId="0" xfId="0" applyFont="1"/>
    <xf numFmtId="3" fontId="0" fillId="2" borderId="0" xfId="0" applyNumberFormat="1" applyFill="1" applyBorder="1" applyAlignment="1">
      <alignment horizontal="left"/>
    </xf>
    <xf numFmtId="3" fontId="0" fillId="2" borderId="0" xfId="0" applyNumberForma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left" indent="1"/>
    </xf>
    <xf numFmtId="3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right"/>
    </xf>
    <xf numFmtId="3" fontId="1" fillId="2" borderId="0" xfId="0" applyNumberFormat="1" applyFont="1" applyFill="1"/>
    <xf numFmtId="9" fontId="1" fillId="0" borderId="0" xfId="0" applyNumberFormat="1" applyFont="1" applyAlignment="1">
      <alignment horizontal="left"/>
    </xf>
    <xf numFmtId="9" fontId="0" fillId="0" borderId="0" xfId="0" applyNumberFormat="1" applyFill="1"/>
    <xf numFmtId="3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38100</xdr:rowOff>
    </xdr:from>
    <xdr:to>
      <xdr:col>19</xdr:col>
      <xdr:colOff>19050</xdr:colOff>
      <xdr:row>89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58D24B9-A6BF-98AB-6CE2-C7EA209A5D2A}"/>
            </a:ext>
          </a:extLst>
        </xdr:cNvPr>
        <xdr:cNvCxnSpPr/>
      </xdr:nvCxnSpPr>
      <xdr:spPr>
        <a:xfrm>
          <a:off x="12039600" y="38100"/>
          <a:ext cx="0" cy="12801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0</xdr:row>
      <xdr:rowOff>0</xdr:rowOff>
    </xdr:from>
    <xdr:to>
      <xdr:col>34</xdr:col>
      <xdr:colOff>19050</xdr:colOff>
      <xdr:row>88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4949500-F8A8-4F7F-8C34-D481FA414CF5}"/>
            </a:ext>
          </a:extLst>
        </xdr:cNvPr>
        <xdr:cNvCxnSpPr/>
      </xdr:nvCxnSpPr>
      <xdr:spPr>
        <a:xfrm>
          <a:off x="21183600" y="0"/>
          <a:ext cx="0" cy="121253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28575</xdr:rowOff>
    </xdr:from>
    <xdr:to>
      <xdr:col>11</xdr:col>
      <xdr:colOff>28575</xdr:colOff>
      <xdr:row>59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A0FCD7-D6CB-03FD-C3CA-75BB1D057B89}"/>
            </a:ext>
          </a:extLst>
        </xdr:cNvPr>
        <xdr:cNvCxnSpPr/>
      </xdr:nvCxnSpPr>
      <xdr:spPr>
        <a:xfrm>
          <a:off x="7305675" y="28575"/>
          <a:ext cx="0" cy="8362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0</xdr:row>
      <xdr:rowOff>0</xdr:rowOff>
    </xdr:from>
    <xdr:to>
      <xdr:col>16</xdr:col>
      <xdr:colOff>19050</xdr:colOff>
      <xdr:row>59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1364119-B809-4763-AB35-03DF139D22E1}"/>
            </a:ext>
          </a:extLst>
        </xdr:cNvPr>
        <xdr:cNvCxnSpPr/>
      </xdr:nvCxnSpPr>
      <xdr:spPr>
        <a:xfrm>
          <a:off x="10344150" y="0"/>
          <a:ext cx="0" cy="8362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47625</xdr:rowOff>
    </xdr:from>
    <xdr:to>
      <xdr:col>11</xdr:col>
      <xdr:colOff>9525</xdr:colOff>
      <xdr:row>45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1C18CE1-63B8-6595-5B88-5A7FB097B08A}"/>
            </a:ext>
          </a:extLst>
        </xdr:cNvPr>
        <xdr:cNvCxnSpPr/>
      </xdr:nvCxnSpPr>
      <xdr:spPr>
        <a:xfrm>
          <a:off x="6753225" y="47625"/>
          <a:ext cx="0" cy="6962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0</xdr:row>
      <xdr:rowOff>0</xdr:rowOff>
    </xdr:from>
    <xdr:to>
      <xdr:col>15</xdr:col>
      <xdr:colOff>28575</xdr:colOff>
      <xdr:row>45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B95AA45-F333-432D-ADA8-C52185708718}"/>
            </a:ext>
          </a:extLst>
        </xdr:cNvPr>
        <xdr:cNvCxnSpPr/>
      </xdr:nvCxnSpPr>
      <xdr:spPr>
        <a:xfrm>
          <a:off x="9210675" y="0"/>
          <a:ext cx="0" cy="6962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2DD6-96EF-4271-89F5-5A679488F1F1}">
  <dimension ref="B2:M42"/>
  <sheetViews>
    <sheetView workbookViewId="0">
      <selection activeCell="L21" sqref="L21"/>
    </sheetView>
  </sheetViews>
  <sheetFormatPr defaultRowHeight="12.75" x14ac:dyDescent="0.2"/>
  <cols>
    <col min="1" max="1" width="4" customWidth="1"/>
    <col min="2" max="9" width="9.140625" customWidth="1"/>
    <col min="10" max="11" width="9.7109375" customWidth="1"/>
    <col min="12" max="23" width="9.140625" customWidth="1"/>
  </cols>
  <sheetData>
    <row r="2" spans="2:13" x14ac:dyDescent="0.2">
      <c r="B2" s="15" t="s">
        <v>122</v>
      </c>
      <c r="K2" t="s">
        <v>0</v>
      </c>
      <c r="L2">
        <v>218</v>
      </c>
    </row>
    <row r="3" spans="2:13" x14ac:dyDescent="0.2">
      <c r="B3" t="s">
        <v>76</v>
      </c>
      <c r="E3" t="s">
        <v>78</v>
      </c>
      <c r="K3" t="s">
        <v>1</v>
      </c>
      <c r="L3" s="1">
        <v>812.44084899999996</v>
      </c>
      <c r="M3" s="5" t="s">
        <v>75</v>
      </c>
    </row>
    <row r="4" spans="2:13" x14ac:dyDescent="0.2">
      <c r="B4" s="12" t="s">
        <v>94</v>
      </c>
      <c r="K4" t="s">
        <v>2</v>
      </c>
      <c r="L4" s="1">
        <f>+L2*L3</f>
        <v>177112.10508199999</v>
      </c>
      <c r="M4" s="5"/>
    </row>
    <row r="5" spans="2:13" x14ac:dyDescent="0.2">
      <c r="B5" s="12" t="s">
        <v>95</v>
      </c>
      <c r="K5" t="s">
        <v>3</v>
      </c>
      <c r="L5" s="1">
        <f>+Model!S40</f>
        <v>10899</v>
      </c>
      <c r="M5" s="5" t="s">
        <v>75</v>
      </c>
    </row>
    <row r="6" spans="2:13" x14ac:dyDescent="0.2">
      <c r="B6" s="12" t="s">
        <v>96</v>
      </c>
      <c r="K6" t="s">
        <v>4</v>
      </c>
      <c r="L6" s="1">
        <f>+Model!S48</f>
        <v>6260</v>
      </c>
      <c r="M6" s="5" t="s">
        <v>75</v>
      </c>
    </row>
    <row r="7" spans="2:13" x14ac:dyDescent="0.2">
      <c r="B7" s="14" t="s">
        <v>97</v>
      </c>
      <c r="K7" t="s">
        <v>5</v>
      </c>
      <c r="L7" s="1">
        <f>+L4-L5+L6</f>
        <v>172473.10508199999</v>
      </c>
    </row>
    <row r="8" spans="2:13" x14ac:dyDescent="0.2">
      <c r="B8" s="14" t="s">
        <v>98</v>
      </c>
      <c r="L8" s="1">
        <f>+SUM(Model!P28:S28)</f>
        <v>6343</v>
      </c>
    </row>
    <row r="9" spans="2:13" x14ac:dyDescent="0.2">
      <c r="B9" s="14" t="s">
        <v>99</v>
      </c>
      <c r="L9" s="2">
        <f>+L7/L8</f>
        <v>27.191093344158915</v>
      </c>
    </row>
    <row r="10" spans="2:13" x14ac:dyDescent="0.2">
      <c r="B10" s="14" t="s">
        <v>100</v>
      </c>
    </row>
    <row r="11" spans="2:13" x14ac:dyDescent="0.2">
      <c r="B11" t="s">
        <v>88</v>
      </c>
    </row>
    <row r="12" spans="2:13" x14ac:dyDescent="0.2">
      <c r="B12" s="12" t="s">
        <v>84</v>
      </c>
    </row>
    <row r="13" spans="2:13" x14ac:dyDescent="0.2">
      <c r="B13" s="12" t="s">
        <v>85</v>
      </c>
    </row>
    <row r="14" spans="2:13" x14ac:dyDescent="0.2">
      <c r="B14" s="12" t="s">
        <v>86</v>
      </c>
    </row>
    <row r="15" spans="2:13" x14ac:dyDescent="0.2">
      <c r="B15" s="12" t="s">
        <v>87</v>
      </c>
    </row>
    <row r="16" spans="2:13" x14ac:dyDescent="0.2">
      <c r="B16" s="13" t="s">
        <v>89</v>
      </c>
    </row>
    <row r="17" spans="2:7" x14ac:dyDescent="0.2">
      <c r="B17" s="12" t="s">
        <v>90</v>
      </c>
    </row>
    <row r="18" spans="2:7" x14ac:dyDescent="0.2">
      <c r="B18" s="12" t="s">
        <v>92</v>
      </c>
    </row>
    <row r="19" spans="2:7" x14ac:dyDescent="0.2">
      <c r="B19" s="12" t="s">
        <v>91</v>
      </c>
    </row>
    <row r="20" spans="2:7" x14ac:dyDescent="0.2">
      <c r="B20" s="12" t="s">
        <v>93</v>
      </c>
    </row>
    <row r="22" spans="2:7" x14ac:dyDescent="0.2">
      <c r="B22" s="37"/>
      <c r="C22" s="37"/>
      <c r="D22" s="38">
        <v>2023</v>
      </c>
      <c r="E22" s="38">
        <v>2024</v>
      </c>
      <c r="F22" s="39" t="s">
        <v>109</v>
      </c>
      <c r="G22" s="39" t="s">
        <v>108</v>
      </c>
    </row>
    <row r="23" spans="2:7" x14ac:dyDescent="0.2">
      <c r="B23" s="16" t="s">
        <v>76</v>
      </c>
      <c r="D23" s="4">
        <v>19698</v>
      </c>
      <c r="E23" s="4">
        <v>19911</v>
      </c>
      <c r="F23" s="3">
        <f>+E23/D23-1</f>
        <v>1.0813280536094982E-2</v>
      </c>
      <c r="G23" s="3">
        <f>+E23/$E$27</f>
        <v>0.73266853105681484</v>
      </c>
    </row>
    <row r="24" spans="2:7" x14ac:dyDescent="0.2">
      <c r="B24" s="16" t="s">
        <v>102</v>
      </c>
      <c r="D24" s="4">
        <v>5732</v>
      </c>
      <c r="E24" s="4">
        <v>6225</v>
      </c>
      <c r="F24" s="3">
        <f t="shared" ref="F24:F27" si="0">+E24/D24-1</f>
        <v>8.6008374040474456E-2</v>
      </c>
      <c r="G24" s="3">
        <f>+E24/$E$27</f>
        <v>0.22906240800706507</v>
      </c>
    </row>
    <row r="25" spans="2:7" x14ac:dyDescent="0.2">
      <c r="B25" s="16" t="s">
        <v>77</v>
      </c>
      <c r="D25" s="4">
        <v>868</v>
      </c>
      <c r="E25" s="4">
        <v>885</v>
      </c>
      <c r="F25" s="3">
        <f t="shared" si="0"/>
        <v>1.9585253456221308E-2</v>
      </c>
      <c r="G25" s="3">
        <f>+E25/$E$27</f>
        <v>3.2565498969679127E-2</v>
      </c>
    </row>
    <row r="26" spans="2:7" ht="13.5" thickBot="1" x14ac:dyDescent="0.25">
      <c r="B26" s="18" t="s">
        <v>103</v>
      </c>
      <c r="C26" s="19"/>
      <c r="D26" s="20">
        <v>219</v>
      </c>
      <c r="E26" s="20">
        <v>155</v>
      </c>
      <c r="F26" s="21">
        <f t="shared" si="0"/>
        <v>-0.29223744292237441</v>
      </c>
      <c r="G26" s="21">
        <f>+E26/$E$27</f>
        <v>5.7035619664409769E-3</v>
      </c>
    </row>
    <row r="27" spans="2:7" ht="13.5" thickTop="1" x14ac:dyDescent="0.2">
      <c r="B27" s="16" t="s">
        <v>104</v>
      </c>
      <c r="D27" s="1">
        <f>+SUM(D23:D26)</f>
        <v>26517</v>
      </c>
      <c r="E27" s="1">
        <f>+SUM(E23:E26)</f>
        <v>27176</v>
      </c>
      <c r="F27" s="3">
        <f t="shared" si="0"/>
        <v>2.4851981747558094E-2</v>
      </c>
    </row>
    <row r="29" spans="2:7" x14ac:dyDescent="0.2">
      <c r="B29" s="40" t="s">
        <v>81</v>
      </c>
      <c r="C29" s="41"/>
      <c r="D29" s="22">
        <v>2023</v>
      </c>
      <c r="E29" s="22">
        <v>2024</v>
      </c>
      <c r="F29" s="41"/>
      <c r="G29" s="41"/>
    </row>
    <row r="30" spans="2:7" x14ac:dyDescent="0.2">
      <c r="B30" t="s">
        <v>111</v>
      </c>
      <c r="D30" s="3">
        <v>0.77</v>
      </c>
      <c r="E30" s="3">
        <v>0.68</v>
      </c>
    </row>
    <row r="31" spans="2:7" x14ac:dyDescent="0.2">
      <c r="B31" t="s">
        <v>79</v>
      </c>
      <c r="D31" s="3">
        <v>0.17</v>
      </c>
      <c r="E31" s="3">
        <v>0.28000000000000003</v>
      </c>
    </row>
    <row r="32" spans="2:7" x14ac:dyDescent="0.2">
      <c r="B32" t="s">
        <v>80</v>
      </c>
      <c r="D32" s="3">
        <v>0.06</v>
      </c>
      <c r="E32" s="3">
        <v>0.04</v>
      </c>
    </row>
    <row r="33" spans="2:9" x14ac:dyDescent="0.2">
      <c r="B33" t="s">
        <v>123</v>
      </c>
    </row>
    <row r="35" spans="2:9" x14ac:dyDescent="0.2">
      <c r="B35" t="s">
        <v>82</v>
      </c>
    </row>
    <row r="36" spans="2:9" x14ac:dyDescent="0.2">
      <c r="B36" t="s">
        <v>83</v>
      </c>
    </row>
    <row r="38" spans="2:9" x14ac:dyDescent="0.2">
      <c r="B38" s="41" t="s">
        <v>110</v>
      </c>
      <c r="C38" s="41"/>
      <c r="D38" s="41"/>
      <c r="E38" s="41"/>
      <c r="F38" s="41"/>
      <c r="G38" s="42">
        <v>2022</v>
      </c>
      <c r="H38" s="42">
        <v>2023</v>
      </c>
      <c r="I38" s="42">
        <v>2024</v>
      </c>
    </row>
    <row r="39" spans="2:9" x14ac:dyDescent="0.2">
      <c r="B39" t="s">
        <v>105</v>
      </c>
      <c r="G39" s="3">
        <v>0.12</v>
      </c>
      <c r="H39" s="3">
        <v>0.15</v>
      </c>
      <c r="I39" s="3">
        <v>0.12</v>
      </c>
    </row>
    <row r="40" spans="2:9" x14ac:dyDescent="0.2">
      <c r="B40" t="s">
        <v>106</v>
      </c>
      <c r="G40" s="3">
        <v>0.2</v>
      </c>
      <c r="H40" s="3">
        <v>0.19</v>
      </c>
      <c r="I40" s="3">
        <v>0.11</v>
      </c>
    </row>
    <row r="41" spans="2:9" x14ac:dyDescent="0.2">
      <c r="B41" t="s">
        <v>124</v>
      </c>
      <c r="G41" s="3">
        <v>0.1</v>
      </c>
      <c r="H41" s="5" t="s">
        <v>126</v>
      </c>
      <c r="I41" s="5" t="s">
        <v>126</v>
      </c>
    </row>
    <row r="42" spans="2:9" x14ac:dyDescent="0.2">
      <c r="B42" s="43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12AA9-572B-4FF2-B376-085E621FD274}">
  <dimension ref="A1:AW84"/>
  <sheetViews>
    <sheetView tabSelected="1" workbookViewId="0">
      <pane xSplit="2" ySplit="2" topLeftCell="M52" activePane="bottomRight" state="frozen"/>
      <selection pane="topRight" activeCell="C1" sqref="C1"/>
      <selection pane="bottomLeft" activeCell="A3" sqref="A3"/>
      <selection pane="bottomRight" activeCell="U64" sqref="U64"/>
    </sheetView>
  </sheetViews>
  <sheetFormatPr defaultRowHeight="12.75" x14ac:dyDescent="0.2"/>
  <cols>
    <col min="1" max="1" width="5" style="1" bestFit="1" customWidth="1"/>
    <col min="2" max="2" width="20.5703125" style="1" bestFit="1" customWidth="1"/>
    <col min="3" max="9" width="9.140625" style="1"/>
    <col min="10" max="10" width="10.140625" style="1" bestFit="1" customWidth="1"/>
    <col min="11" max="13" width="9.140625" style="1"/>
    <col min="14" max="14" width="10.140625" style="1" bestFit="1" customWidth="1"/>
    <col min="15" max="16384" width="9.140625" style="1"/>
  </cols>
  <sheetData>
    <row r="1" spans="1:49" s="9" customFormat="1" x14ac:dyDescent="0.2">
      <c r="A1" s="24" t="s">
        <v>120</v>
      </c>
      <c r="C1" s="9">
        <v>44226</v>
      </c>
      <c r="D1" s="9">
        <v>44318</v>
      </c>
      <c r="E1" s="9">
        <v>44773</v>
      </c>
      <c r="G1" s="9">
        <v>44591</v>
      </c>
      <c r="H1" s="9">
        <v>44682</v>
      </c>
      <c r="I1" s="9">
        <v>44772</v>
      </c>
      <c r="J1" s="9">
        <v>44863</v>
      </c>
      <c r="K1" s="9">
        <v>44954</v>
      </c>
      <c r="L1" s="9">
        <v>45044</v>
      </c>
      <c r="M1" s="9">
        <v>45137</v>
      </c>
      <c r="N1" s="9">
        <v>45228</v>
      </c>
      <c r="O1" s="9">
        <v>45319</v>
      </c>
      <c r="P1" s="9">
        <v>45410</v>
      </c>
      <c r="Q1" s="9">
        <v>45501</v>
      </c>
      <c r="R1" s="9">
        <v>45592</v>
      </c>
      <c r="S1" s="9">
        <v>45683</v>
      </c>
    </row>
    <row r="2" spans="1:49" s="4" customFormat="1" x14ac:dyDescent="0.2"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S2" s="4" t="s">
        <v>75</v>
      </c>
      <c r="X2" s="5">
        <v>2014</v>
      </c>
      <c r="Y2" s="5">
        <f>+X2+1</f>
        <v>2015</v>
      </c>
      <c r="Z2" s="5">
        <f t="shared" ref="Z2:AW2" si="0">+Y2+1</f>
        <v>2016</v>
      </c>
      <c r="AA2" s="5">
        <f t="shared" si="0"/>
        <v>2017</v>
      </c>
      <c r="AB2" s="5">
        <f t="shared" si="0"/>
        <v>2018</v>
      </c>
      <c r="AC2" s="5">
        <f t="shared" si="0"/>
        <v>2019</v>
      </c>
      <c r="AD2" s="5">
        <f t="shared" si="0"/>
        <v>2020</v>
      </c>
      <c r="AE2" s="5">
        <f t="shared" si="0"/>
        <v>2021</v>
      </c>
      <c r="AF2" s="5">
        <f t="shared" si="0"/>
        <v>2022</v>
      </c>
      <c r="AG2" s="5">
        <f t="shared" si="0"/>
        <v>2023</v>
      </c>
      <c r="AH2" s="5">
        <f t="shared" si="0"/>
        <v>2024</v>
      </c>
      <c r="AI2" s="5">
        <f t="shared" si="0"/>
        <v>2025</v>
      </c>
      <c r="AJ2" s="5">
        <f t="shared" si="0"/>
        <v>2026</v>
      </c>
      <c r="AK2" s="5">
        <f t="shared" si="0"/>
        <v>2027</v>
      </c>
      <c r="AL2" s="5">
        <f t="shared" si="0"/>
        <v>2028</v>
      </c>
      <c r="AM2" s="5">
        <f t="shared" si="0"/>
        <v>2029</v>
      </c>
      <c r="AN2" s="5">
        <f t="shared" si="0"/>
        <v>2030</v>
      </c>
      <c r="AO2" s="5">
        <f t="shared" si="0"/>
        <v>2031</v>
      </c>
      <c r="AP2" s="5">
        <f t="shared" si="0"/>
        <v>2032</v>
      </c>
      <c r="AQ2" s="5">
        <f t="shared" si="0"/>
        <v>2033</v>
      </c>
      <c r="AR2" s="5">
        <f t="shared" si="0"/>
        <v>2034</v>
      </c>
      <c r="AS2" s="5">
        <f t="shared" si="0"/>
        <v>2035</v>
      </c>
      <c r="AT2" s="5">
        <f t="shared" si="0"/>
        <v>2036</v>
      </c>
      <c r="AU2" s="5">
        <f t="shared" si="0"/>
        <v>2037</v>
      </c>
      <c r="AV2" s="5">
        <f t="shared" si="0"/>
        <v>2038</v>
      </c>
      <c r="AW2" s="5">
        <f t="shared" si="0"/>
        <v>2039</v>
      </c>
    </row>
    <row r="3" spans="1:49" s="4" customFormat="1" x14ac:dyDescent="0.2">
      <c r="B3" s="17" t="s">
        <v>101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s="4" customFormat="1" x14ac:dyDescent="0.2">
      <c r="B4" s="16" t="s">
        <v>76</v>
      </c>
      <c r="AG4" s="4">
        <v>11127</v>
      </c>
      <c r="AH4" s="4">
        <v>8259</v>
      </c>
    </row>
    <row r="5" spans="1:49" s="4" customFormat="1" x14ac:dyDescent="0.2">
      <c r="B5" s="16" t="s">
        <v>102</v>
      </c>
      <c r="AG5" s="4">
        <v>5162</v>
      </c>
      <c r="AH5" s="4">
        <v>6767</v>
      </c>
    </row>
    <row r="6" spans="1:49" s="4" customFormat="1" x14ac:dyDescent="0.2">
      <c r="B6" s="16" t="s">
        <v>77</v>
      </c>
      <c r="AG6" s="4">
        <v>833</v>
      </c>
      <c r="AH6" s="4">
        <v>827</v>
      </c>
    </row>
    <row r="7" spans="1:49" s="4" customFormat="1" x14ac:dyDescent="0.2">
      <c r="B7" s="16" t="s">
        <v>103</v>
      </c>
      <c r="AG7" s="4">
        <v>49</v>
      </c>
      <c r="AH7" s="4">
        <v>20</v>
      </c>
    </row>
    <row r="8" spans="1:49" s="4" customFormat="1" x14ac:dyDescent="0.2">
      <c r="B8" s="16" t="s">
        <v>104</v>
      </c>
      <c r="AG8" s="4">
        <f>+SUM(AG4:AG7)</f>
        <v>17171</v>
      </c>
      <c r="AH8" s="4">
        <f>+SUM(AH4:AH7)</f>
        <v>15873</v>
      </c>
    </row>
    <row r="9" spans="1:49" s="30" customFormat="1" x14ac:dyDescent="0.2">
      <c r="B9" s="29" t="s">
        <v>109</v>
      </c>
      <c r="AH9" s="30">
        <f>+AH8/AG8-1</f>
        <v>-7.5592568866111431E-2</v>
      </c>
    </row>
    <row r="10" spans="1:49" s="4" customFormat="1" x14ac:dyDescent="0.2">
      <c r="B10" s="16"/>
    </row>
    <row r="11" spans="1:49" s="4" customFormat="1" x14ac:dyDescent="0.2">
      <c r="B11" s="17" t="s">
        <v>107</v>
      </c>
    </row>
    <row r="12" spans="1:49" s="4" customFormat="1" x14ac:dyDescent="0.2">
      <c r="B12" s="16" t="s">
        <v>76</v>
      </c>
      <c r="O12" s="4">
        <v>4909</v>
      </c>
      <c r="S12" s="4">
        <v>5356</v>
      </c>
      <c r="AG12" s="4">
        <v>19698</v>
      </c>
      <c r="AH12" s="4">
        <v>19911</v>
      </c>
    </row>
    <row r="13" spans="1:49" s="4" customFormat="1" x14ac:dyDescent="0.2">
      <c r="B13" s="16" t="s">
        <v>102</v>
      </c>
      <c r="O13" s="4">
        <v>1476</v>
      </c>
      <c r="S13" s="4">
        <v>1594</v>
      </c>
      <c r="AG13" s="4">
        <v>5732</v>
      </c>
      <c r="AH13" s="4">
        <v>6225</v>
      </c>
    </row>
    <row r="14" spans="1:49" s="4" customFormat="1" x14ac:dyDescent="0.2">
      <c r="B14" s="16" t="s">
        <v>77</v>
      </c>
      <c r="O14" s="4">
        <v>244</v>
      </c>
      <c r="S14" s="4">
        <v>183</v>
      </c>
      <c r="AG14" s="4">
        <v>868</v>
      </c>
      <c r="AH14" s="4">
        <v>885</v>
      </c>
    </row>
    <row r="15" spans="1:49" s="4" customFormat="1" x14ac:dyDescent="0.2">
      <c r="B15" s="16" t="s">
        <v>103</v>
      </c>
      <c r="O15" s="4">
        <v>78</v>
      </c>
      <c r="S15" s="4">
        <v>33</v>
      </c>
      <c r="AG15" s="4">
        <v>219</v>
      </c>
      <c r="AH15" s="4">
        <v>155</v>
      </c>
    </row>
    <row r="16" spans="1:49" s="4" customFormat="1" x14ac:dyDescent="0.2">
      <c r="B16" s="16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2:34" s="6" customFormat="1" x14ac:dyDescent="0.2">
      <c r="B17" s="6" t="s">
        <v>6</v>
      </c>
      <c r="C17" s="6">
        <v>5162</v>
      </c>
      <c r="D17" s="6">
        <v>5582</v>
      </c>
      <c r="E17" s="6">
        <v>6520</v>
      </c>
      <c r="F17" s="6">
        <f>+AE17-SUM(C17:E17)</f>
        <v>5799</v>
      </c>
      <c r="G17" s="6">
        <v>6271</v>
      </c>
      <c r="H17" s="6">
        <v>6245</v>
      </c>
      <c r="I17" s="6">
        <v>6520</v>
      </c>
      <c r="J17" s="6">
        <f>+AF17-SUM(G17:I17)</f>
        <v>6749</v>
      </c>
      <c r="K17" s="6">
        <v>6739</v>
      </c>
      <c r="L17" s="6">
        <v>6630</v>
      </c>
      <c r="M17" s="6">
        <v>6425</v>
      </c>
      <c r="N17" s="6">
        <f>+AG17-SUM(K17:M17)</f>
        <v>6723</v>
      </c>
      <c r="O17" s="6">
        <v>6707</v>
      </c>
      <c r="P17" s="6">
        <v>6646</v>
      </c>
      <c r="Q17" s="6">
        <v>6778</v>
      </c>
      <c r="R17" s="6">
        <f>+AH17-SUM(O17:Q17)</f>
        <v>7045</v>
      </c>
      <c r="S17" s="6">
        <v>7166</v>
      </c>
      <c r="X17" s="6">
        <v>9072</v>
      </c>
      <c r="Y17" s="6">
        <v>9659</v>
      </c>
      <c r="Z17" s="6">
        <v>10825</v>
      </c>
      <c r="AA17" s="6">
        <v>14537</v>
      </c>
      <c r="AB17" s="6">
        <v>16705</v>
      </c>
      <c r="AC17" s="6">
        <v>14608</v>
      </c>
      <c r="AD17" s="6">
        <v>17202</v>
      </c>
      <c r="AE17" s="6">
        <v>23063</v>
      </c>
      <c r="AF17" s="6">
        <v>25785</v>
      </c>
      <c r="AG17" s="6">
        <v>26517</v>
      </c>
      <c r="AH17" s="6">
        <v>27176</v>
      </c>
    </row>
    <row r="18" spans="2:34" x14ac:dyDescent="0.2">
      <c r="B18" s="1" t="s">
        <v>7</v>
      </c>
      <c r="C18" s="1">
        <v>2813</v>
      </c>
      <c r="D18" s="1">
        <v>2929</v>
      </c>
      <c r="E18" s="1">
        <v>3514</v>
      </c>
      <c r="F18" s="1">
        <f>+AE18-SUM(C18:E18)</f>
        <v>2893</v>
      </c>
      <c r="G18" s="1">
        <v>3312</v>
      </c>
      <c r="H18" s="1">
        <v>3318</v>
      </c>
      <c r="I18" s="1">
        <v>3514</v>
      </c>
      <c r="J18" s="1">
        <f>+AF18-SUM(G18:I18)</f>
        <v>3648</v>
      </c>
      <c r="K18" s="1">
        <v>3594</v>
      </c>
      <c r="L18" s="1">
        <v>3536</v>
      </c>
      <c r="M18" s="1">
        <v>3449</v>
      </c>
      <c r="N18" s="1">
        <f>+AG18-SUM(K18:M18)</f>
        <v>3554</v>
      </c>
      <c r="O18" s="1">
        <v>3503</v>
      </c>
      <c r="P18" s="1">
        <v>3493</v>
      </c>
      <c r="Q18" s="1">
        <v>3573</v>
      </c>
      <c r="R18" s="11">
        <f>+AH18-SUM(O18:Q18)</f>
        <v>3710</v>
      </c>
      <c r="S18" s="1">
        <v>3670</v>
      </c>
      <c r="X18" s="1">
        <v>5229</v>
      </c>
      <c r="Y18" s="1">
        <v>5707</v>
      </c>
      <c r="Z18" s="1">
        <v>6314</v>
      </c>
      <c r="AA18" s="1">
        <v>8005</v>
      </c>
      <c r="AB18" s="1">
        <v>9188</v>
      </c>
      <c r="AC18" s="1">
        <v>8222</v>
      </c>
      <c r="AD18" s="1">
        <v>9510</v>
      </c>
      <c r="AE18" s="1">
        <v>12149</v>
      </c>
      <c r="AF18" s="1">
        <v>13792</v>
      </c>
      <c r="AG18" s="1">
        <v>14133</v>
      </c>
      <c r="AH18" s="1">
        <v>14279</v>
      </c>
    </row>
    <row r="19" spans="2:34" s="6" customFormat="1" x14ac:dyDescent="0.2">
      <c r="B19" s="6" t="s">
        <v>8</v>
      </c>
      <c r="C19" s="6">
        <f t="shared" ref="C19:P19" si="1">+C17-C18</f>
        <v>2349</v>
      </c>
      <c r="D19" s="6">
        <f t="shared" si="1"/>
        <v>2653</v>
      </c>
      <c r="E19" s="6">
        <f t="shared" si="1"/>
        <v>3006</v>
      </c>
      <c r="F19" s="6">
        <f t="shared" si="1"/>
        <v>2906</v>
      </c>
      <c r="G19" s="6">
        <f t="shared" si="1"/>
        <v>2959</v>
      </c>
      <c r="H19" s="6">
        <f t="shared" si="1"/>
        <v>2927</v>
      </c>
      <c r="I19" s="6">
        <f t="shared" si="1"/>
        <v>3006</v>
      </c>
      <c r="J19" s="6">
        <f t="shared" si="1"/>
        <v>3101</v>
      </c>
      <c r="K19" s="6">
        <f t="shared" si="1"/>
        <v>3145</v>
      </c>
      <c r="L19" s="6">
        <f t="shared" si="1"/>
        <v>3094</v>
      </c>
      <c r="M19" s="6">
        <f t="shared" si="1"/>
        <v>2976</v>
      </c>
      <c r="N19" s="6">
        <f t="shared" si="1"/>
        <v>3169</v>
      </c>
      <c r="O19" s="6">
        <f t="shared" si="1"/>
        <v>3204</v>
      </c>
      <c r="P19" s="6">
        <f t="shared" si="1"/>
        <v>3153</v>
      </c>
      <c r="Q19" s="6">
        <f t="shared" ref="Q19:S19" si="2">+Q17-Q18</f>
        <v>3205</v>
      </c>
      <c r="R19" s="6">
        <f t="shared" si="2"/>
        <v>3335</v>
      </c>
      <c r="S19" s="6">
        <f t="shared" si="2"/>
        <v>3496</v>
      </c>
      <c r="X19" s="6">
        <f t="shared" ref="X19:AG19" si="3">+X17-X18</f>
        <v>3843</v>
      </c>
      <c r="Y19" s="6">
        <f t="shared" si="3"/>
        <v>3952</v>
      </c>
      <c r="Z19" s="6">
        <f t="shared" si="3"/>
        <v>4511</v>
      </c>
      <c r="AA19" s="6">
        <f t="shared" si="3"/>
        <v>6532</v>
      </c>
      <c r="AB19" s="6">
        <f t="shared" si="3"/>
        <v>7517</v>
      </c>
      <c r="AC19" s="6">
        <f t="shared" si="3"/>
        <v>6386</v>
      </c>
      <c r="AD19" s="6">
        <f t="shared" si="3"/>
        <v>7692</v>
      </c>
      <c r="AE19" s="6">
        <f t="shared" si="3"/>
        <v>10914</v>
      </c>
      <c r="AF19" s="6">
        <f t="shared" si="3"/>
        <v>11993</v>
      </c>
      <c r="AG19" s="6">
        <f t="shared" si="3"/>
        <v>12384</v>
      </c>
      <c r="AH19" s="6">
        <f t="shared" ref="AH19" si="4">+AH17-AH18</f>
        <v>12897</v>
      </c>
    </row>
    <row r="20" spans="2:34" x14ac:dyDescent="0.2">
      <c r="B20" s="1" t="s">
        <v>9</v>
      </c>
      <c r="C20" s="1">
        <v>606</v>
      </c>
      <c r="D20" s="1">
        <v>617</v>
      </c>
      <c r="E20" s="1">
        <v>705</v>
      </c>
      <c r="F20" s="1">
        <f>+AE20-SUM(C20:E20)</f>
        <v>557</v>
      </c>
      <c r="G20" s="1">
        <v>654</v>
      </c>
      <c r="H20" s="1">
        <v>686</v>
      </c>
      <c r="I20" s="1">
        <v>705</v>
      </c>
      <c r="J20" s="1">
        <f>+AF20-SUM(G20:I20)</f>
        <v>726</v>
      </c>
      <c r="K20" s="1">
        <v>771</v>
      </c>
      <c r="L20" s="1">
        <v>775</v>
      </c>
      <c r="M20" s="1">
        <v>767</v>
      </c>
      <c r="N20" s="1">
        <f>+AG20-SUM(K20:M20)</f>
        <v>789</v>
      </c>
      <c r="O20" s="1">
        <v>754</v>
      </c>
      <c r="P20" s="1">
        <v>785</v>
      </c>
      <c r="Q20" s="1">
        <v>836</v>
      </c>
      <c r="R20" s="11">
        <f t="shared" ref="R20:R22" si="5">+AH20-SUM(O20:Q20)</f>
        <v>858</v>
      </c>
      <c r="S20" s="1">
        <v>859</v>
      </c>
      <c r="X20" s="1">
        <v>1428</v>
      </c>
      <c r="Y20" s="1">
        <v>1451</v>
      </c>
      <c r="Z20" s="1">
        <v>1540</v>
      </c>
      <c r="AA20" s="1">
        <v>1774</v>
      </c>
      <c r="AB20" s="1">
        <v>2022</v>
      </c>
      <c r="AC20" s="1">
        <v>2054</v>
      </c>
      <c r="AD20" s="1">
        <v>2234</v>
      </c>
      <c r="AE20" s="1">
        <v>2485</v>
      </c>
      <c r="AF20" s="1">
        <v>2771</v>
      </c>
      <c r="AG20" s="1">
        <v>3102</v>
      </c>
      <c r="AH20" s="1">
        <v>3233</v>
      </c>
    </row>
    <row r="21" spans="2:34" x14ac:dyDescent="0.2">
      <c r="B21" s="1" t="s">
        <v>11</v>
      </c>
      <c r="C21" s="1">
        <v>147</v>
      </c>
      <c r="D21" s="1">
        <v>148</v>
      </c>
      <c r="E21" s="1">
        <v>180</v>
      </c>
      <c r="F21" s="1">
        <f>+AE21-SUM(C21:E21)</f>
        <v>134</v>
      </c>
      <c r="G21" s="1">
        <v>167</v>
      </c>
      <c r="H21" s="1">
        <v>173</v>
      </c>
      <c r="I21" s="1">
        <v>180</v>
      </c>
      <c r="J21" s="1">
        <f>+AF21-SUM(G21:I21)</f>
        <v>183</v>
      </c>
      <c r="K21" s="1">
        <v>197</v>
      </c>
      <c r="L21" s="1">
        <v>194</v>
      </c>
      <c r="M21" s="1">
        <v>193</v>
      </c>
      <c r="N21" s="1">
        <f>+AG21-SUM(K21:M21)</f>
        <v>192</v>
      </c>
      <c r="O21" s="1">
        <v>207</v>
      </c>
      <c r="P21" s="1">
        <v>209</v>
      </c>
      <c r="Q21" s="1">
        <v>205</v>
      </c>
      <c r="R21" s="11">
        <f t="shared" si="5"/>
        <v>215</v>
      </c>
      <c r="S21" s="1">
        <v>206</v>
      </c>
      <c r="X21" s="1">
        <v>423</v>
      </c>
      <c r="Y21" s="1">
        <v>428</v>
      </c>
      <c r="Z21" s="1">
        <v>429</v>
      </c>
      <c r="AA21" s="1">
        <v>456</v>
      </c>
      <c r="AB21" s="1">
        <v>521</v>
      </c>
      <c r="AC21" s="1">
        <v>521</v>
      </c>
      <c r="AD21" s="1">
        <v>526</v>
      </c>
      <c r="AE21" s="1">
        <v>609</v>
      </c>
      <c r="AF21" s="1">
        <v>703</v>
      </c>
      <c r="AG21" s="1">
        <v>776</v>
      </c>
      <c r="AH21" s="1">
        <v>836</v>
      </c>
    </row>
    <row r="22" spans="2:34" x14ac:dyDescent="0.2">
      <c r="B22" s="1" t="s">
        <v>10</v>
      </c>
      <c r="C22" s="1">
        <v>161</v>
      </c>
      <c r="D22" s="1">
        <v>149</v>
      </c>
      <c r="E22" s="1">
        <v>197</v>
      </c>
      <c r="F22" s="1">
        <f>+AE22-SUM(C22:E22)</f>
        <v>113</v>
      </c>
      <c r="G22" s="1">
        <v>166</v>
      </c>
      <c r="H22" s="1">
        <v>174</v>
      </c>
      <c r="I22" s="1">
        <v>197</v>
      </c>
      <c r="J22" s="1">
        <f>+AF22-SUM(G22:I22)</f>
        <v>198</v>
      </c>
      <c r="K22" s="1">
        <v>207</v>
      </c>
      <c r="L22" s="1">
        <v>214</v>
      </c>
      <c r="M22" s="1">
        <v>214</v>
      </c>
      <c r="N22" s="1">
        <f>+AG22-SUM(K22:M22)</f>
        <v>217</v>
      </c>
      <c r="O22" s="1">
        <v>276</v>
      </c>
      <c r="P22" s="1">
        <v>247</v>
      </c>
      <c r="Q22" s="1">
        <v>222</v>
      </c>
      <c r="R22" s="11">
        <f t="shared" si="5"/>
        <v>216</v>
      </c>
      <c r="S22" s="1">
        <v>256</v>
      </c>
      <c r="X22" s="1">
        <v>467</v>
      </c>
      <c r="Y22" s="1">
        <v>469</v>
      </c>
      <c r="Z22" s="1">
        <v>390</v>
      </c>
      <c r="AA22" s="1">
        <v>434</v>
      </c>
      <c r="AB22" s="1">
        <v>483</v>
      </c>
      <c r="AC22" s="1">
        <v>461</v>
      </c>
      <c r="AD22" s="1">
        <v>567</v>
      </c>
      <c r="AE22" s="1">
        <v>620</v>
      </c>
      <c r="AF22" s="1">
        <v>735</v>
      </c>
      <c r="AG22" s="1">
        <v>852</v>
      </c>
      <c r="AH22" s="1">
        <v>961</v>
      </c>
    </row>
    <row r="23" spans="2:34" x14ac:dyDescent="0.2">
      <c r="B23" s="1" t="s">
        <v>12</v>
      </c>
      <c r="C23" s="1">
        <f t="shared" ref="C23:P23" si="6">+SUM(C20:C22)</f>
        <v>914</v>
      </c>
      <c r="D23" s="1">
        <f t="shared" si="6"/>
        <v>914</v>
      </c>
      <c r="E23" s="1">
        <f t="shared" si="6"/>
        <v>1082</v>
      </c>
      <c r="F23" s="1">
        <f t="shared" si="6"/>
        <v>804</v>
      </c>
      <c r="G23" s="1">
        <f t="shared" si="6"/>
        <v>987</v>
      </c>
      <c r="H23" s="1">
        <f t="shared" si="6"/>
        <v>1033</v>
      </c>
      <c r="I23" s="1">
        <f t="shared" si="6"/>
        <v>1082</v>
      </c>
      <c r="J23" s="1">
        <f t="shared" si="6"/>
        <v>1107</v>
      </c>
      <c r="K23" s="1">
        <f t="shared" si="6"/>
        <v>1175</v>
      </c>
      <c r="L23" s="1">
        <f t="shared" si="6"/>
        <v>1183</v>
      </c>
      <c r="M23" s="1">
        <f t="shared" si="6"/>
        <v>1174</v>
      </c>
      <c r="N23" s="1">
        <f t="shared" si="6"/>
        <v>1198</v>
      </c>
      <c r="O23" s="1">
        <f t="shared" si="6"/>
        <v>1237</v>
      </c>
      <c r="P23" s="1">
        <f t="shared" si="6"/>
        <v>1241</v>
      </c>
      <c r="Q23" s="1">
        <f t="shared" ref="Q23:S23" si="7">+SUM(Q20:Q22)</f>
        <v>1263</v>
      </c>
      <c r="R23" s="1">
        <f t="shared" si="7"/>
        <v>1289</v>
      </c>
      <c r="S23" s="1">
        <f t="shared" si="7"/>
        <v>1321</v>
      </c>
      <c r="X23" s="1">
        <f t="shared" ref="X23:AG23" si="8">+SUM(X20:X22)</f>
        <v>2318</v>
      </c>
      <c r="Y23" s="1">
        <f t="shared" si="8"/>
        <v>2348</v>
      </c>
      <c r="Z23" s="1">
        <f t="shared" si="8"/>
        <v>2359</v>
      </c>
      <c r="AA23" s="1">
        <f t="shared" si="8"/>
        <v>2664</v>
      </c>
      <c r="AB23" s="1">
        <f t="shared" si="8"/>
        <v>3026</v>
      </c>
      <c r="AC23" s="1">
        <f t="shared" si="8"/>
        <v>3036</v>
      </c>
      <c r="AD23" s="1">
        <f t="shared" si="8"/>
        <v>3327</v>
      </c>
      <c r="AE23" s="1">
        <f t="shared" si="8"/>
        <v>3714</v>
      </c>
      <c r="AF23" s="1">
        <f t="shared" si="8"/>
        <v>4209</v>
      </c>
      <c r="AG23" s="1">
        <f t="shared" si="8"/>
        <v>4730</v>
      </c>
      <c r="AH23" s="1">
        <f t="shared" ref="AH23" si="9">+SUM(AH20:AH22)</f>
        <v>5030</v>
      </c>
    </row>
    <row r="24" spans="2:34" s="6" customFormat="1" x14ac:dyDescent="0.2">
      <c r="B24" s="6" t="s">
        <v>13</v>
      </c>
      <c r="C24" s="6">
        <f t="shared" ref="C24:P24" si="10">+C19-C23</f>
        <v>1435</v>
      </c>
      <c r="D24" s="6">
        <f t="shared" si="10"/>
        <v>1739</v>
      </c>
      <c r="E24" s="6">
        <f t="shared" si="10"/>
        <v>1924</v>
      </c>
      <c r="F24" s="6">
        <f t="shared" si="10"/>
        <v>2102</v>
      </c>
      <c r="G24" s="6">
        <f t="shared" si="10"/>
        <v>1972</v>
      </c>
      <c r="H24" s="6">
        <f t="shared" si="10"/>
        <v>1894</v>
      </c>
      <c r="I24" s="6">
        <f t="shared" si="10"/>
        <v>1924</v>
      </c>
      <c r="J24" s="6">
        <f t="shared" si="10"/>
        <v>1994</v>
      </c>
      <c r="K24" s="6">
        <f t="shared" si="10"/>
        <v>1970</v>
      </c>
      <c r="L24" s="6">
        <f t="shared" si="10"/>
        <v>1911</v>
      </c>
      <c r="M24" s="6">
        <f t="shared" si="10"/>
        <v>1802</v>
      </c>
      <c r="N24" s="6">
        <f t="shared" si="10"/>
        <v>1971</v>
      </c>
      <c r="O24" s="6">
        <f t="shared" si="10"/>
        <v>1967</v>
      </c>
      <c r="P24" s="6">
        <f t="shared" si="10"/>
        <v>1912</v>
      </c>
      <c r="Q24" s="6">
        <f t="shared" ref="Q24:S24" si="11">+Q19-Q23</f>
        <v>1942</v>
      </c>
      <c r="R24" s="6">
        <f t="shared" si="11"/>
        <v>2046</v>
      </c>
      <c r="S24" s="6">
        <f t="shared" si="11"/>
        <v>2175</v>
      </c>
      <c r="X24" s="6">
        <f t="shared" ref="X24:AG24" si="12">+X19-X23</f>
        <v>1525</v>
      </c>
      <c r="Y24" s="6">
        <f t="shared" si="12"/>
        <v>1604</v>
      </c>
      <c r="Z24" s="6">
        <f t="shared" si="12"/>
        <v>2152</v>
      </c>
      <c r="AA24" s="6">
        <f t="shared" si="12"/>
        <v>3868</v>
      </c>
      <c r="AB24" s="6">
        <f t="shared" si="12"/>
        <v>4491</v>
      </c>
      <c r="AC24" s="6">
        <f t="shared" si="12"/>
        <v>3350</v>
      </c>
      <c r="AD24" s="6">
        <f t="shared" si="12"/>
        <v>4365</v>
      </c>
      <c r="AE24" s="6">
        <f t="shared" si="12"/>
        <v>7200</v>
      </c>
      <c r="AF24" s="6">
        <f t="shared" si="12"/>
        <v>7784</v>
      </c>
      <c r="AG24" s="6">
        <f t="shared" si="12"/>
        <v>7654</v>
      </c>
      <c r="AH24" s="6">
        <f t="shared" ref="AH24" si="13">+AH19-AH23</f>
        <v>7867</v>
      </c>
    </row>
    <row r="25" spans="2:34" x14ac:dyDescent="0.2">
      <c r="B25" s="1" t="s">
        <v>14</v>
      </c>
      <c r="C25" s="1">
        <f>-61+18</f>
        <v>-43</v>
      </c>
      <c r="D25" s="1">
        <f>-61+27</f>
        <v>-34</v>
      </c>
      <c r="E25" s="1">
        <f>-56+7</f>
        <v>-49</v>
      </c>
      <c r="F25" s="1">
        <f>+AE25+80-SUM(C25:E25)</f>
        <v>88</v>
      </c>
      <c r="G25" s="1">
        <f>-57+6</f>
        <v>-51</v>
      </c>
      <c r="H25" s="1">
        <f>-58+28</f>
        <v>-30</v>
      </c>
      <c r="I25" s="1">
        <f>-56-7</f>
        <v>-63</v>
      </c>
      <c r="J25" s="1">
        <f>+AF25+12-SUM(G25:I25)</f>
        <v>-33</v>
      </c>
      <c r="K25" s="1">
        <f>-59+50</f>
        <v>-9</v>
      </c>
      <c r="L25" s="1">
        <f>-61-73</f>
        <v>-134</v>
      </c>
      <c r="M25" s="1">
        <f>-60+64</f>
        <v>4</v>
      </c>
      <c r="N25" s="1">
        <f>+AG25+259-SUM(K25:M25)</f>
        <v>460</v>
      </c>
      <c r="O25" s="1">
        <f>-59+395</f>
        <v>336</v>
      </c>
      <c r="P25" s="1">
        <f>-59+141</f>
        <v>82</v>
      </c>
      <c r="Q25" s="1">
        <f>-63+81</f>
        <v>18</v>
      </c>
      <c r="R25" s="11">
        <f t="shared" ref="R25:R27" si="14">+AH25-SUM(O25:Q25)</f>
        <v>-151</v>
      </c>
      <c r="S25" s="1">
        <f>-64+8</f>
        <v>-56</v>
      </c>
      <c r="X25" s="1">
        <f>-95+23</f>
        <v>-72</v>
      </c>
      <c r="Y25" s="1">
        <f>-103+8</f>
        <v>-95</v>
      </c>
      <c r="Z25" s="1">
        <f>-155+16</f>
        <v>-139</v>
      </c>
      <c r="AA25" s="1">
        <f>-198+61</f>
        <v>-137</v>
      </c>
      <c r="AB25" s="1">
        <f>-234+139</f>
        <v>-95</v>
      </c>
      <c r="AC25" s="1">
        <f>-237+156</f>
        <v>-81</v>
      </c>
      <c r="AD25" s="1">
        <f>-240+41</f>
        <v>-199</v>
      </c>
      <c r="AE25" s="1">
        <f>-236+118</f>
        <v>-118</v>
      </c>
      <c r="AF25" s="1">
        <f>-228+39</f>
        <v>-189</v>
      </c>
      <c r="AG25" s="1">
        <f>-238+300</f>
        <v>62</v>
      </c>
      <c r="AH25" s="1">
        <f>-247+532</f>
        <v>285</v>
      </c>
    </row>
    <row r="26" spans="2:34" x14ac:dyDescent="0.2">
      <c r="B26" s="1" t="s">
        <v>15</v>
      </c>
      <c r="C26" s="1">
        <f>+C24+SUM(C25:C25)</f>
        <v>1392</v>
      </c>
      <c r="D26" s="1">
        <f>+D24+SUM(D25:D25)</f>
        <v>1705</v>
      </c>
      <c r="E26" s="1">
        <f>+E24+SUM(E25:E25)</f>
        <v>1875</v>
      </c>
      <c r="F26" s="1">
        <f>+F24+SUM(F25:F25)</f>
        <v>2190</v>
      </c>
      <c r="G26" s="1">
        <f>+G24+SUM(G25:G25)</f>
        <v>1921</v>
      </c>
      <c r="H26" s="1">
        <f>+H24+SUM(H25:H25)</f>
        <v>1864</v>
      </c>
      <c r="I26" s="1">
        <f>+I24+SUM(I25:I25)</f>
        <v>1861</v>
      </c>
      <c r="J26" s="1">
        <f>+J24+SUM(J25:J25)</f>
        <v>1961</v>
      </c>
      <c r="K26" s="1">
        <f>+K24+SUM(K25:K25)</f>
        <v>1961</v>
      </c>
      <c r="L26" s="1">
        <f>+L24+SUM(L25:L25)</f>
        <v>1777</v>
      </c>
      <c r="M26" s="1">
        <f>+M24+SUM(M25:M25)</f>
        <v>1806</v>
      </c>
      <c r="N26" s="1">
        <f>+N24+SUM(N25:N25)</f>
        <v>2431</v>
      </c>
      <c r="O26" s="1">
        <f>+O24+SUM(O25:O25)</f>
        <v>2303</v>
      </c>
      <c r="P26" s="1">
        <f>+P24+SUM(P25:P25)</f>
        <v>1994</v>
      </c>
      <c r="Q26" s="1">
        <f>+Q24+SUM(Q25:Q25)</f>
        <v>1960</v>
      </c>
      <c r="R26" s="1">
        <f>+R24+SUM(R25:R25)</f>
        <v>1895</v>
      </c>
      <c r="S26" s="1">
        <f>+S24+SUM(S25:S25)</f>
        <v>2119</v>
      </c>
      <c r="X26" s="1">
        <f>+X24+SUM(X25:X25)</f>
        <v>1453</v>
      </c>
      <c r="Y26" s="1">
        <f>+Y24+SUM(Y25:Y25)</f>
        <v>1509</v>
      </c>
      <c r="Z26" s="1">
        <f>+Z24+SUM(Z25:Z25)</f>
        <v>2013</v>
      </c>
      <c r="AA26" s="1">
        <f>+AA24+SUM(AA25:AA25)</f>
        <v>3731</v>
      </c>
      <c r="AB26" s="1">
        <f>+AB24+SUM(AB25:AB25)</f>
        <v>4396</v>
      </c>
      <c r="AC26" s="1">
        <f>+AC24+SUM(AC25:AC25)</f>
        <v>3269</v>
      </c>
      <c r="AD26" s="1">
        <f>+AD24+SUM(AD25:AD25)</f>
        <v>4166</v>
      </c>
      <c r="AE26" s="1">
        <f>+AE24+SUM(AE25:AE25)</f>
        <v>7082</v>
      </c>
      <c r="AF26" s="1">
        <f>+AF24+SUM(AF25:AF25)</f>
        <v>7595</v>
      </c>
      <c r="AG26" s="1">
        <f>+AG24+SUM(AG25:AG25)</f>
        <v>7716</v>
      </c>
      <c r="AH26" s="1">
        <f>+AH24+SUM(AH25:AH25)</f>
        <v>8152</v>
      </c>
    </row>
    <row r="27" spans="2:34" x14ac:dyDescent="0.2">
      <c r="B27" s="1" t="s">
        <v>16</v>
      </c>
      <c r="C27" s="1">
        <v>110</v>
      </c>
      <c r="D27" s="1">
        <v>215</v>
      </c>
      <c r="E27" s="1">
        <v>255</v>
      </c>
      <c r="F27" s="1">
        <f>+AE27-SUM(C27:E27)</f>
        <v>303</v>
      </c>
      <c r="G27" s="1">
        <v>133</v>
      </c>
      <c r="H27" s="1">
        <v>328</v>
      </c>
      <c r="I27" s="1">
        <v>255</v>
      </c>
      <c r="J27" s="1">
        <f>+AF27-SUM(G27:I27)</f>
        <v>358</v>
      </c>
      <c r="K27" s="1">
        <v>244</v>
      </c>
      <c r="L27" s="1">
        <v>202</v>
      </c>
      <c r="M27" s="1">
        <v>246</v>
      </c>
      <c r="N27" s="1">
        <f>+AG27-SUM(K27:M27)</f>
        <v>168</v>
      </c>
      <c r="O27" s="1">
        <v>284</v>
      </c>
      <c r="P27" s="1">
        <v>272</v>
      </c>
      <c r="Q27" s="1">
        <v>255</v>
      </c>
      <c r="R27" s="11">
        <f t="shared" si="14"/>
        <v>164</v>
      </c>
      <c r="S27" s="1">
        <v>934</v>
      </c>
      <c r="X27" s="1">
        <v>376</v>
      </c>
      <c r="Y27" s="1">
        <v>221</v>
      </c>
      <c r="Z27" s="1">
        <v>292</v>
      </c>
      <c r="AA27" s="1">
        <v>297</v>
      </c>
      <c r="AB27" s="1">
        <v>1358</v>
      </c>
      <c r="AC27" s="1">
        <v>563</v>
      </c>
      <c r="AD27" s="1">
        <v>547</v>
      </c>
      <c r="AE27" s="1">
        <v>883</v>
      </c>
      <c r="AF27" s="1">
        <v>1074</v>
      </c>
      <c r="AG27" s="1">
        <v>860</v>
      </c>
      <c r="AH27" s="1">
        <v>975</v>
      </c>
    </row>
    <row r="28" spans="2:34" s="6" customFormat="1" x14ac:dyDescent="0.2">
      <c r="B28" s="6" t="s">
        <v>17</v>
      </c>
      <c r="C28" s="6">
        <f t="shared" ref="C28:P28" si="15">+C26-C27</f>
        <v>1282</v>
      </c>
      <c r="D28" s="6">
        <f t="shared" si="15"/>
        <v>1490</v>
      </c>
      <c r="E28" s="6">
        <f t="shared" si="15"/>
        <v>1620</v>
      </c>
      <c r="F28" s="6">
        <f t="shared" si="15"/>
        <v>1887</v>
      </c>
      <c r="G28" s="6">
        <f t="shared" si="15"/>
        <v>1788</v>
      </c>
      <c r="H28" s="6">
        <f t="shared" si="15"/>
        <v>1536</v>
      </c>
      <c r="I28" s="6">
        <f t="shared" si="15"/>
        <v>1606</v>
      </c>
      <c r="J28" s="6">
        <f t="shared" si="15"/>
        <v>1603</v>
      </c>
      <c r="K28" s="6">
        <f t="shared" si="15"/>
        <v>1717</v>
      </c>
      <c r="L28" s="6">
        <f t="shared" si="15"/>
        <v>1575</v>
      </c>
      <c r="M28" s="6">
        <f t="shared" si="15"/>
        <v>1560</v>
      </c>
      <c r="N28" s="6">
        <f t="shared" si="15"/>
        <v>2263</v>
      </c>
      <c r="O28" s="6">
        <f t="shared" si="15"/>
        <v>2019</v>
      </c>
      <c r="P28" s="6">
        <f t="shared" si="15"/>
        <v>1722</v>
      </c>
      <c r="Q28" s="6">
        <f t="shared" ref="Q28:S28" si="16">+Q26-Q27</f>
        <v>1705</v>
      </c>
      <c r="R28" s="6">
        <f t="shared" si="16"/>
        <v>1731</v>
      </c>
      <c r="S28" s="6">
        <f t="shared" si="16"/>
        <v>1185</v>
      </c>
      <c r="X28" s="6">
        <f t="shared" ref="X28:AG28" si="17">+X26-X27</f>
        <v>1077</v>
      </c>
      <c r="Y28" s="6">
        <f t="shared" si="17"/>
        <v>1288</v>
      </c>
      <c r="Z28" s="6">
        <f t="shared" si="17"/>
        <v>1721</v>
      </c>
      <c r="AA28" s="6">
        <f t="shared" si="17"/>
        <v>3434</v>
      </c>
      <c r="AB28" s="6">
        <f t="shared" si="17"/>
        <v>3038</v>
      </c>
      <c r="AC28" s="6">
        <f t="shared" si="17"/>
        <v>2706</v>
      </c>
      <c r="AD28" s="6">
        <f t="shared" si="17"/>
        <v>3619</v>
      </c>
      <c r="AE28" s="6">
        <f t="shared" si="17"/>
        <v>6199</v>
      </c>
      <c r="AF28" s="6">
        <f t="shared" si="17"/>
        <v>6521</v>
      </c>
      <c r="AG28" s="6">
        <f t="shared" si="17"/>
        <v>6856</v>
      </c>
      <c r="AH28" s="6">
        <f t="shared" ref="AH28" si="18">+AH26-AH27</f>
        <v>7177</v>
      </c>
    </row>
    <row r="29" spans="2:34" x14ac:dyDescent="0.2">
      <c r="B29" s="1" t="s">
        <v>18</v>
      </c>
      <c r="C29" s="8">
        <f t="shared" ref="C29:P29" si="19">+C28/C30</f>
        <v>1.385945945945946</v>
      </c>
      <c r="D29" s="8">
        <f t="shared" si="19"/>
        <v>1.6073354908306365</v>
      </c>
      <c r="E29" s="8">
        <f t="shared" si="19"/>
        <v>1.806020066889632</v>
      </c>
      <c r="F29" s="8">
        <f t="shared" si="19"/>
        <v>2.0592942888323025</v>
      </c>
      <c r="G29" s="8">
        <f t="shared" si="19"/>
        <v>1.9933110367892977</v>
      </c>
      <c r="H29" s="8">
        <f t="shared" si="19"/>
        <v>1.739524348810872</v>
      </c>
      <c r="I29" s="8">
        <f t="shared" si="19"/>
        <v>1.9051008303677344</v>
      </c>
      <c r="J29" s="8">
        <f t="shared" si="19"/>
        <v>1.8333968738086159</v>
      </c>
      <c r="K29" s="8">
        <f t="shared" si="19"/>
        <v>2.0223792697290932</v>
      </c>
      <c r="L29" s="8">
        <f t="shared" si="19"/>
        <v>1.859504132231405</v>
      </c>
      <c r="M29" s="8">
        <f t="shared" si="19"/>
        <v>1.8505338078291815</v>
      </c>
      <c r="N29" s="8">
        <f t="shared" si="19"/>
        <v>2.6738873572272546</v>
      </c>
      <c r="O29" s="8">
        <f t="shared" si="19"/>
        <v>2.4121863799283152</v>
      </c>
      <c r="P29" s="8">
        <f t="shared" si="19"/>
        <v>2.0598086124401913</v>
      </c>
      <c r="Q29" s="8">
        <f t="shared" ref="Q29:S29" si="20">+Q28/Q30</f>
        <v>2.0468187274909964</v>
      </c>
      <c r="R29" s="8">
        <f t="shared" si="20"/>
        <v>2.0855421686746989</v>
      </c>
      <c r="S29" s="8">
        <f t="shared" si="20"/>
        <v>1.4468864468864469</v>
      </c>
      <c r="X29" s="8">
        <f t="shared" ref="X29:AG29" si="21">+X28/X30</f>
        <v>0.87489845653939891</v>
      </c>
      <c r="Y29" s="8">
        <f t="shared" si="21"/>
        <v>1.0505709624796085</v>
      </c>
      <c r="Z29" s="8">
        <f t="shared" si="21"/>
        <v>1.5421146953405018</v>
      </c>
      <c r="AA29" s="8">
        <f t="shared" si="21"/>
        <v>3.1678966789667897</v>
      </c>
      <c r="AB29" s="8">
        <f t="shared" si="21"/>
        <v>2.9610136452241713</v>
      </c>
      <c r="AC29" s="8">
        <f t="shared" si="21"/>
        <v>2.8634920634920635</v>
      </c>
      <c r="AD29" s="8">
        <f t="shared" si="21"/>
        <v>3.9209100758396533</v>
      </c>
      <c r="AE29" s="8">
        <f t="shared" si="21"/>
        <v>6.7453754080522303</v>
      </c>
      <c r="AF29" s="8">
        <f t="shared" si="21"/>
        <v>7.4355758266818697</v>
      </c>
      <c r="AG29" s="8">
        <f t="shared" si="21"/>
        <v>8.1136094674556212</v>
      </c>
      <c r="AH29" s="8">
        <f t="shared" ref="AH29" si="22">+AH28/AH30</f>
        <v>8.6055155875299754</v>
      </c>
    </row>
    <row r="30" spans="2:34" x14ac:dyDescent="0.2">
      <c r="B30" s="1" t="s">
        <v>1</v>
      </c>
      <c r="C30" s="1">
        <v>925</v>
      </c>
      <c r="D30" s="1">
        <v>927</v>
      </c>
      <c r="E30" s="1">
        <v>897</v>
      </c>
      <c r="F30" s="1">
        <f>+AVERAGE(C30:E30)</f>
        <v>916.33333333333337</v>
      </c>
      <c r="G30" s="1">
        <v>897</v>
      </c>
      <c r="H30" s="1">
        <v>883</v>
      </c>
      <c r="I30" s="1">
        <v>843</v>
      </c>
      <c r="J30" s="1">
        <f>+AVERAGE(G30:I30)</f>
        <v>874.33333333333337</v>
      </c>
      <c r="K30" s="1">
        <v>849</v>
      </c>
      <c r="L30" s="1">
        <v>847</v>
      </c>
      <c r="M30" s="1">
        <v>843</v>
      </c>
      <c r="N30" s="1">
        <f>+AVERAGE(K30:M30)</f>
        <v>846.33333333333337</v>
      </c>
      <c r="O30" s="1">
        <v>837</v>
      </c>
      <c r="P30" s="1">
        <v>836</v>
      </c>
      <c r="Q30" s="1">
        <v>833</v>
      </c>
      <c r="R30" s="1">
        <f>+AH30*4-SUM(O30:Q30)</f>
        <v>830</v>
      </c>
      <c r="S30" s="1">
        <v>819</v>
      </c>
      <c r="X30" s="1">
        <v>1231</v>
      </c>
      <c r="Y30" s="1">
        <v>1226</v>
      </c>
      <c r="Z30" s="1">
        <v>1116</v>
      </c>
      <c r="AA30" s="1">
        <v>1084</v>
      </c>
      <c r="AB30" s="1">
        <v>1026</v>
      </c>
      <c r="AC30" s="1">
        <v>945</v>
      </c>
      <c r="AD30" s="1">
        <v>923</v>
      </c>
      <c r="AE30" s="1">
        <v>919</v>
      </c>
      <c r="AF30" s="1">
        <v>877</v>
      </c>
      <c r="AG30" s="1">
        <v>845</v>
      </c>
      <c r="AH30" s="1">
        <v>834</v>
      </c>
    </row>
    <row r="32" spans="2:34" s="3" customFormat="1" x14ac:dyDescent="0.2">
      <c r="B32" s="3" t="s">
        <v>19</v>
      </c>
      <c r="C32" s="3">
        <f>+C19/C17</f>
        <v>0.4550561797752809</v>
      </c>
      <c r="D32" s="3">
        <f>+D19/D17</f>
        <v>0.47527767825152273</v>
      </c>
      <c r="E32" s="3">
        <f>+E19/E17</f>
        <v>0.46104294478527608</v>
      </c>
      <c r="F32" s="3">
        <f>+F19/F17</f>
        <v>0.50112088291084667</v>
      </c>
      <c r="G32" s="3">
        <f>+G19/G17</f>
        <v>0.47185456864933822</v>
      </c>
      <c r="H32" s="3">
        <f>+H19/H17</f>
        <v>0.46869495596477184</v>
      </c>
      <c r="I32" s="3">
        <f>+I19/I17</f>
        <v>0.46104294478527608</v>
      </c>
      <c r="J32" s="3">
        <f>+J19/J17</f>
        <v>0.45947547784857018</v>
      </c>
      <c r="K32" s="3">
        <f>+K19/K17</f>
        <v>0.46668645199584508</v>
      </c>
      <c r="L32" s="3">
        <f>+L19/L17</f>
        <v>0.46666666666666667</v>
      </c>
      <c r="M32" s="3">
        <f>+M19/M17</f>
        <v>0.46319066147859922</v>
      </c>
      <c r="N32" s="3">
        <f>+N19/N17</f>
        <v>0.47136694927859585</v>
      </c>
      <c r="O32" s="3">
        <f>+O19/O17</f>
        <v>0.47770985537498134</v>
      </c>
      <c r="P32" s="3">
        <f>+P19/P17</f>
        <v>0.47442070418296722</v>
      </c>
      <c r="Q32" s="3">
        <f>+Q19/Q17</f>
        <v>0.47285334907052229</v>
      </c>
      <c r="R32" s="3">
        <f>+R19/R17</f>
        <v>0.47338537970191624</v>
      </c>
      <c r="S32" s="3">
        <f>+S19/S17</f>
        <v>0.487859335752163</v>
      </c>
      <c r="X32" s="3">
        <f>+X19/X17</f>
        <v>0.4236111111111111</v>
      </c>
      <c r="Y32" s="3">
        <f>+Y19/Y17</f>
        <v>0.40915208613728127</v>
      </c>
      <c r="Z32" s="3">
        <f>+Z19/Z17</f>
        <v>0.41672055427251731</v>
      </c>
      <c r="AA32" s="3">
        <f>+AA19/AA17</f>
        <v>0.44933617665267939</v>
      </c>
      <c r="AB32" s="3">
        <f>+AB19/AB17</f>
        <v>0.4499850344208321</v>
      </c>
      <c r="AC32" s="3">
        <f>+AC19/AC17</f>
        <v>0.43715772179627599</v>
      </c>
      <c r="AD32" s="3">
        <f>+AD19/AD17</f>
        <v>0.44715730728985004</v>
      </c>
      <c r="AE32" s="3">
        <f>+AE19/AE17</f>
        <v>0.47322551272601138</v>
      </c>
      <c r="AF32" s="3">
        <f>+AF19/AF17</f>
        <v>0.46511537715726198</v>
      </c>
      <c r="AG32" s="3">
        <f>+AG19/AG17</f>
        <v>0.46702115623939361</v>
      </c>
      <c r="AH32" s="3">
        <f>+AH19/AH17</f>
        <v>0.47457315278186635</v>
      </c>
    </row>
    <row r="33" spans="2:34" s="3" customFormat="1" x14ac:dyDescent="0.2">
      <c r="B33" s="3" t="s">
        <v>20</v>
      </c>
      <c r="C33" s="3">
        <f>+C24/C17</f>
        <v>0.27799302595893066</v>
      </c>
      <c r="D33" s="3">
        <f>+D24/D17</f>
        <v>0.31153708348262271</v>
      </c>
      <c r="E33" s="3">
        <f>+E24/E17</f>
        <v>0.29509202453987732</v>
      </c>
      <c r="F33" s="3">
        <f>+F24/F17</f>
        <v>0.36247628901534745</v>
      </c>
      <c r="G33" s="3">
        <f>+G24/G17</f>
        <v>0.31446340296603414</v>
      </c>
      <c r="H33" s="3">
        <f>+H24/H17</f>
        <v>0.30328262610088069</v>
      </c>
      <c r="I33" s="3">
        <f>+I24/I17</f>
        <v>0.29509202453987732</v>
      </c>
      <c r="J33" s="3">
        <f>+J24/J17</f>
        <v>0.2954511779522892</v>
      </c>
      <c r="K33" s="3">
        <f>+K24/K17</f>
        <v>0.29232823861106988</v>
      </c>
      <c r="L33" s="3">
        <f>+L24/L17</f>
        <v>0.28823529411764703</v>
      </c>
      <c r="M33" s="3">
        <f>+M24/M17</f>
        <v>0.28046692607003892</v>
      </c>
      <c r="N33" s="3">
        <f>+N24/N17</f>
        <v>0.29317269076305219</v>
      </c>
      <c r="O33" s="3">
        <f>+O24/O17</f>
        <v>0.29327568212315491</v>
      </c>
      <c r="P33" s="3">
        <f>+P24/P17</f>
        <v>0.28769184471862774</v>
      </c>
      <c r="Q33" s="3">
        <f>+Q24/Q17</f>
        <v>0.28651519622307464</v>
      </c>
      <c r="R33" s="3">
        <f>+R24/R17</f>
        <v>0.29041873669268986</v>
      </c>
      <c r="S33" s="3">
        <f>+S24/S17</f>
        <v>0.30351660619592519</v>
      </c>
      <c r="X33" s="3">
        <f>+X24/X17</f>
        <v>0.16809964726631393</v>
      </c>
      <c r="Y33" s="3">
        <f>+Y24/Y17</f>
        <v>0.166062739414018</v>
      </c>
      <c r="Z33" s="3">
        <f>+Z24/Z17</f>
        <v>0.19879907621247114</v>
      </c>
      <c r="AA33" s="3">
        <f>+AA24/AA17</f>
        <v>0.2660796588016785</v>
      </c>
      <c r="AB33" s="3">
        <f>+AB24/AB17</f>
        <v>0.26884166417240346</v>
      </c>
      <c r="AC33" s="3">
        <f>+AC24/AC17</f>
        <v>0.22932639649507119</v>
      </c>
      <c r="AD33" s="3">
        <f>+AD24/AD17</f>
        <v>0.25374956400418558</v>
      </c>
      <c r="AE33" s="3">
        <f>+AE24/AE17</f>
        <v>0.3121883536400295</v>
      </c>
      <c r="AF33" s="3">
        <f>+AF24/AF17</f>
        <v>0.30188093853015319</v>
      </c>
      <c r="AG33" s="3">
        <f>+AG24/AG17</f>
        <v>0.28864502017573634</v>
      </c>
      <c r="AH33" s="3">
        <f>+AH24/AH17</f>
        <v>0.28948336767736238</v>
      </c>
    </row>
    <row r="34" spans="2:34" s="3" customFormat="1" x14ac:dyDescent="0.2">
      <c r="B34" s="3" t="s">
        <v>21</v>
      </c>
      <c r="C34" s="3">
        <f>+C28/C17</f>
        <v>0.24835335141418055</v>
      </c>
      <c r="D34" s="3">
        <f>+D28/D17</f>
        <v>0.26692941597993552</v>
      </c>
      <c r="E34" s="3">
        <f>+E28/E17</f>
        <v>0.24846625766871167</v>
      </c>
      <c r="F34" s="3">
        <f>+F28/F17</f>
        <v>0.3254009311950336</v>
      </c>
      <c r="G34" s="3">
        <f>+G28/G17</f>
        <v>0.28512199011321959</v>
      </c>
      <c r="H34" s="3">
        <f>+H28/H17</f>
        <v>0.24595676541232986</v>
      </c>
      <c r="I34" s="3">
        <f>+I28/I17</f>
        <v>0.24631901840490797</v>
      </c>
      <c r="J34" s="3">
        <f>+J28/J17</f>
        <v>0.23751666913616831</v>
      </c>
      <c r="K34" s="3">
        <f>+K28/K17</f>
        <v>0.25478557649502892</v>
      </c>
      <c r="L34" s="3">
        <f>+L28/L17</f>
        <v>0.23755656108597284</v>
      </c>
      <c r="M34" s="3">
        <f>+M28/M17</f>
        <v>0.24280155642023346</v>
      </c>
      <c r="N34" s="3">
        <f>+N28/N17</f>
        <v>0.33660568198720808</v>
      </c>
      <c r="O34" s="3">
        <f>+O28/O17</f>
        <v>0.3010287759057701</v>
      </c>
      <c r="P34" s="3">
        <f>+P28/P17</f>
        <v>0.25910321998194402</v>
      </c>
      <c r="Q34" s="3">
        <f>+Q28/Q17</f>
        <v>0.25154912953673653</v>
      </c>
      <c r="R34" s="3">
        <f>+R28/R17</f>
        <v>0.24570617459190916</v>
      </c>
      <c r="S34" s="3">
        <f>+S28/S17</f>
        <v>0.16536421992743511</v>
      </c>
      <c r="X34" s="3">
        <f>+X28/X17</f>
        <v>0.11871693121693122</v>
      </c>
      <c r="Y34" s="3">
        <f>+Y28/Y17</f>
        <v>0.13334713738482246</v>
      </c>
      <c r="Z34" s="3">
        <f>+Z28/Z17</f>
        <v>0.15898383371824482</v>
      </c>
      <c r="AA34" s="3">
        <f>+AA28/AA17</f>
        <v>0.23622480566829471</v>
      </c>
      <c r="AB34" s="3">
        <f>+AB28/AB17</f>
        <v>0.18186171804848847</v>
      </c>
      <c r="AC34" s="3">
        <f>+AC28/AC17</f>
        <v>0.18524096385542169</v>
      </c>
      <c r="AD34" s="3">
        <f>+AD28/AD17</f>
        <v>0.2103825136612022</v>
      </c>
      <c r="AE34" s="3">
        <f>+AE28/AE17</f>
        <v>0.26878550058535317</v>
      </c>
      <c r="AF34" s="3">
        <f>+AF28/AF17</f>
        <v>0.25289897227070002</v>
      </c>
      <c r="AG34" s="3">
        <f>+AG28/AG17</f>
        <v>0.25855111815062037</v>
      </c>
      <c r="AH34" s="3">
        <f>+AH28/AH17</f>
        <v>0.26409331763320576</v>
      </c>
    </row>
    <row r="35" spans="2:34" s="3" customFormat="1" x14ac:dyDescent="0.2">
      <c r="B35" s="3" t="s">
        <v>22</v>
      </c>
      <c r="C35" s="3">
        <f t="shared" ref="C35:P35" si="23">+C27/C26</f>
        <v>7.9022988505747127E-2</v>
      </c>
      <c r="D35" s="3">
        <f t="shared" si="23"/>
        <v>0.12609970674486803</v>
      </c>
      <c r="E35" s="3">
        <f t="shared" si="23"/>
        <v>0.13600000000000001</v>
      </c>
      <c r="F35" s="3">
        <f t="shared" si="23"/>
        <v>0.13835616438356163</v>
      </c>
      <c r="G35" s="3">
        <f t="shared" si="23"/>
        <v>6.9234773555439874E-2</v>
      </c>
      <c r="H35" s="3">
        <f t="shared" si="23"/>
        <v>0.17596566523605151</v>
      </c>
      <c r="I35" s="3">
        <f t="shared" si="23"/>
        <v>0.13702310585706609</v>
      </c>
      <c r="J35" s="3">
        <f t="shared" si="23"/>
        <v>0.18255991840897501</v>
      </c>
      <c r="K35" s="3">
        <f t="shared" si="23"/>
        <v>0.12442631310555839</v>
      </c>
      <c r="L35" s="3">
        <f t="shared" si="23"/>
        <v>0.11367473269555431</v>
      </c>
      <c r="M35" s="3">
        <f t="shared" si="23"/>
        <v>0.13621262458471761</v>
      </c>
      <c r="N35" s="3">
        <f t="shared" si="23"/>
        <v>6.9107363225010279E-2</v>
      </c>
      <c r="O35" s="3">
        <f t="shared" si="23"/>
        <v>0.12331741207121147</v>
      </c>
      <c r="P35" s="3">
        <f t="shared" si="23"/>
        <v>0.13640922768304914</v>
      </c>
      <c r="Q35" s="3">
        <f t="shared" ref="Q35:S35" si="24">+Q27/Q26</f>
        <v>0.13010204081632654</v>
      </c>
      <c r="R35" s="3">
        <f t="shared" si="24"/>
        <v>8.6543535620052764E-2</v>
      </c>
      <c r="S35" s="3">
        <f t="shared" si="24"/>
        <v>0.44077394997640396</v>
      </c>
      <c r="X35" s="3">
        <f t="shared" ref="X35:AG35" si="25">+X27/X26</f>
        <v>0.25877494838265658</v>
      </c>
      <c r="Y35" s="3">
        <f t="shared" si="25"/>
        <v>0.14645460569913851</v>
      </c>
      <c r="Z35" s="3">
        <f t="shared" si="25"/>
        <v>0.14505712866368603</v>
      </c>
      <c r="AA35" s="3">
        <f t="shared" si="25"/>
        <v>7.9603323505762533E-2</v>
      </c>
      <c r="AB35" s="3">
        <f t="shared" si="25"/>
        <v>0.30891719745222929</v>
      </c>
      <c r="AC35" s="3">
        <f t="shared" si="25"/>
        <v>0.17222392168858977</v>
      </c>
      <c r="AD35" s="3">
        <f t="shared" si="25"/>
        <v>0.1313010081613058</v>
      </c>
      <c r="AE35" s="3">
        <f t="shared" si="25"/>
        <v>0.12468229313753178</v>
      </c>
      <c r="AF35" s="3">
        <f t="shared" si="25"/>
        <v>0.14140882159315338</v>
      </c>
      <c r="AG35" s="3">
        <f t="shared" si="25"/>
        <v>0.11145671332296526</v>
      </c>
      <c r="AH35" s="3">
        <f t="shared" ref="AH35" si="26">+AH27/AH26</f>
        <v>0.11960255152109912</v>
      </c>
    </row>
    <row r="36" spans="2:34" s="3" customFormat="1" x14ac:dyDescent="0.2"/>
    <row r="37" spans="2:34" s="7" customFormat="1" x14ac:dyDescent="0.2">
      <c r="B37" s="7" t="s">
        <v>23</v>
      </c>
      <c r="G37" s="7">
        <f>+G17/C17-1</f>
        <v>0.21483920960867886</v>
      </c>
      <c r="H37" s="7">
        <f>+H17/D17-1</f>
        <v>0.11877463274811895</v>
      </c>
      <c r="I37" s="7">
        <f>+I17/E17-1</f>
        <v>0</v>
      </c>
      <c r="J37" s="7">
        <f>+J17/F17-1</f>
        <v>0.1638213485083635</v>
      </c>
      <c r="K37" s="7">
        <f>+K17/G17-1</f>
        <v>7.4629245734332716E-2</v>
      </c>
      <c r="L37" s="7">
        <f>+L17/G17-1</f>
        <v>5.7247647903045706E-2</v>
      </c>
      <c r="M37" s="7">
        <f>+M17/I17-1</f>
        <v>-1.4570552147239235E-2</v>
      </c>
      <c r="N37" s="7">
        <f>+N17/J17-1</f>
        <v>-3.8524225811231716E-3</v>
      </c>
      <c r="O37" s="7">
        <f>+O17/K17-1</f>
        <v>-4.7484790028193835E-3</v>
      </c>
      <c r="P37" s="7">
        <f>+P17/L17-1</f>
        <v>2.4132730015082871E-3</v>
      </c>
      <c r="Q37" s="7">
        <f>+Q17/M17-1</f>
        <v>5.4941634241245207E-2</v>
      </c>
      <c r="R37" s="7">
        <f>+R17/N17-1</f>
        <v>4.7895284843076036E-2</v>
      </c>
      <c r="S37" s="7">
        <f>+S17/O17-1</f>
        <v>6.8435962427314756E-2</v>
      </c>
      <c r="Y37" s="7">
        <f>+Y17/X17-1</f>
        <v>6.4704585537918913E-2</v>
      </c>
      <c r="Z37" s="7">
        <f>+Z17/Y17-1</f>
        <v>0.12071643027228496</v>
      </c>
      <c r="AA37" s="7">
        <f>+AA17/Z17-1</f>
        <v>0.34290993071593534</v>
      </c>
      <c r="AB37" s="7">
        <f>+AB17/AA17-1</f>
        <v>0.14913668569856231</v>
      </c>
      <c r="AC37" s="7">
        <f>+AC17/AB17-1</f>
        <v>-0.12553127806046094</v>
      </c>
      <c r="AD37" s="7">
        <f>+AD17/AC17-1</f>
        <v>0.17757393209200445</v>
      </c>
      <c r="AE37" s="7">
        <f>+AE17/AD17-1</f>
        <v>0.34071619579118706</v>
      </c>
      <c r="AF37" s="7">
        <f>+AF17/AE17-1</f>
        <v>0.11802454147335562</v>
      </c>
      <c r="AG37" s="7">
        <f>+AG17/AF17-1</f>
        <v>2.8388598022105915E-2</v>
      </c>
      <c r="AH37" s="7">
        <f>+AH17/AG17-1</f>
        <v>2.4851981747558094E-2</v>
      </c>
    </row>
    <row r="39" spans="2:34" x14ac:dyDescent="0.2">
      <c r="B39" s="1" t="s">
        <v>40</v>
      </c>
      <c r="M39" s="1">
        <f>+M40-M48</f>
        <v>3053</v>
      </c>
      <c r="N39" s="1">
        <f>+N40-N48</f>
        <v>3589</v>
      </c>
      <c r="O39" s="1">
        <f>+O40-O48</f>
        <v>4840</v>
      </c>
      <c r="P39" s="1">
        <f>+P40-P48</f>
        <v>4978</v>
      </c>
      <c r="Q39" s="1">
        <f>+Q40-Q48</f>
        <v>5827</v>
      </c>
      <c r="R39" s="1">
        <f>+R40-R48</f>
        <v>5999</v>
      </c>
      <c r="S39" s="1">
        <f>+S40-S48</f>
        <v>4639</v>
      </c>
      <c r="AH39" s="1">
        <f>+AH40-AH48</f>
        <v>5999</v>
      </c>
    </row>
    <row r="40" spans="2:34" x14ac:dyDescent="0.2">
      <c r="B40" s="1" t="s">
        <v>3</v>
      </c>
      <c r="M40" s="1">
        <f>6025+510+2177</f>
        <v>8712</v>
      </c>
      <c r="N40" s="1">
        <f>6132+737+2281</f>
        <v>9150</v>
      </c>
      <c r="O40" s="1">
        <f>6854+638+2910</f>
        <v>10402</v>
      </c>
      <c r="P40" s="1">
        <f>7085+472+2983</f>
        <v>10540</v>
      </c>
      <c r="Q40" s="1">
        <f>8288+815+2981</f>
        <v>12084</v>
      </c>
      <c r="R40" s="1">
        <f>8022+1449+2787</f>
        <v>12258</v>
      </c>
      <c r="S40" s="1">
        <f>6264+1949+2686</f>
        <v>10899</v>
      </c>
      <c r="AH40" s="1">
        <f>8022+1449+2787</f>
        <v>12258</v>
      </c>
    </row>
    <row r="41" spans="2:34" x14ac:dyDescent="0.2">
      <c r="B41" s="1" t="s">
        <v>41</v>
      </c>
      <c r="M41" s="1">
        <v>5230</v>
      </c>
      <c r="N41" s="1">
        <v>5165</v>
      </c>
      <c r="O41" s="1">
        <v>4700</v>
      </c>
      <c r="P41" s="1">
        <v>4778</v>
      </c>
      <c r="Q41" s="1">
        <v>4970</v>
      </c>
      <c r="R41" s="1">
        <v>5234</v>
      </c>
      <c r="S41" s="1">
        <v>5998</v>
      </c>
      <c r="AH41" s="1">
        <v>5234</v>
      </c>
    </row>
    <row r="42" spans="2:34" x14ac:dyDescent="0.2">
      <c r="B42" s="1" t="s">
        <v>42</v>
      </c>
      <c r="M42" s="1">
        <v>5809</v>
      </c>
      <c r="N42" s="1">
        <v>5725</v>
      </c>
      <c r="O42" s="1">
        <v>5646</v>
      </c>
      <c r="P42" s="1">
        <v>5691</v>
      </c>
      <c r="Q42" s="1">
        <v>5568</v>
      </c>
      <c r="R42" s="1">
        <v>5421</v>
      </c>
      <c r="S42" s="1">
        <v>5501</v>
      </c>
      <c r="AH42" s="1">
        <v>5421</v>
      </c>
    </row>
    <row r="43" spans="2:34" x14ac:dyDescent="0.2">
      <c r="B43" s="1" t="s">
        <v>43</v>
      </c>
      <c r="M43" s="1">
        <v>1305</v>
      </c>
      <c r="N43" s="1">
        <v>1388</v>
      </c>
      <c r="O43" s="1">
        <v>1344</v>
      </c>
      <c r="P43" s="1">
        <v>1239</v>
      </c>
      <c r="Q43" s="1">
        <v>1030</v>
      </c>
      <c r="R43" s="1">
        <v>1094</v>
      </c>
      <c r="S43" s="1">
        <v>982</v>
      </c>
      <c r="AH43" s="1">
        <v>1094</v>
      </c>
    </row>
    <row r="44" spans="2:34" x14ac:dyDescent="0.2">
      <c r="B44" s="1" t="s">
        <v>44</v>
      </c>
      <c r="M44" s="1">
        <v>2604</v>
      </c>
      <c r="N44" s="1">
        <v>2723</v>
      </c>
      <c r="O44" s="1">
        <v>2826</v>
      </c>
      <c r="P44" s="1">
        <v>2958</v>
      </c>
      <c r="Q44" s="1">
        <v>3100</v>
      </c>
      <c r="R44" s="1">
        <v>3339</v>
      </c>
      <c r="S44" s="1">
        <v>3563</v>
      </c>
      <c r="AH44" s="1">
        <v>3339</v>
      </c>
    </row>
    <row r="45" spans="2:34" x14ac:dyDescent="0.2">
      <c r="B45" s="1" t="s">
        <v>45</v>
      </c>
      <c r="M45" s="1">
        <f>3732+305</f>
        <v>4037</v>
      </c>
      <c r="N45" s="1">
        <f>3732+294</f>
        <v>4026</v>
      </c>
      <c r="O45" s="1">
        <f>3732+283</f>
        <v>4015</v>
      </c>
      <c r="P45" s="1">
        <f>3732+273</f>
        <v>4005</v>
      </c>
      <c r="Q45" s="1">
        <f>3732+262</f>
        <v>3994</v>
      </c>
      <c r="R45" s="1">
        <f>3732+249</f>
        <v>3981</v>
      </c>
      <c r="S45" s="1">
        <f>3768+237</f>
        <v>4005</v>
      </c>
      <c r="AH45" s="1">
        <f>3732+249</f>
        <v>3981</v>
      </c>
    </row>
    <row r="46" spans="2:34" x14ac:dyDescent="0.2">
      <c r="B46" s="1" t="s">
        <v>46</v>
      </c>
      <c r="M46" s="1">
        <v>2713</v>
      </c>
      <c r="N46" s="1">
        <v>2552</v>
      </c>
      <c r="O46" s="1">
        <v>2607</v>
      </c>
      <c r="P46" s="1">
        <v>2738</v>
      </c>
      <c r="Q46" s="1">
        <v>2901</v>
      </c>
      <c r="R46" s="1">
        <v>3082</v>
      </c>
      <c r="S46" s="1">
        <v>2390</v>
      </c>
      <c r="AH46" s="1">
        <v>3082</v>
      </c>
    </row>
    <row r="47" spans="2:34" s="6" customFormat="1" x14ac:dyDescent="0.2">
      <c r="B47" s="6" t="s">
        <v>47</v>
      </c>
      <c r="M47" s="6">
        <f>+SUM(M40:M46)</f>
        <v>30410</v>
      </c>
      <c r="N47" s="6">
        <f>+SUM(N40:N46)</f>
        <v>30729</v>
      </c>
      <c r="O47" s="6">
        <f>+SUM(O40:O46)</f>
        <v>31540</v>
      </c>
      <c r="P47" s="6">
        <f>+SUM(P40:P46)</f>
        <v>31949</v>
      </c>
      <c r="Q47" s="6">
        <f>+SUM(Q40:Q46)</f>
        <v>33647</v>
      </c>
      <c r="R47" s="6">
        <f>+SUM(R40:R46)</f>
        <v>34409</v>
      </c>
      <c r="S47" s="6">
        <f>+SUM(S40:S46)</f>
        <v>33338</v>
      </c>
      <c r="AH47" s="6">
        <f>+SUM(AH40:AH46)</f>
        <v>34409</v>
      </c>
    </row>
    <row r="48" spans="2:34" x14ac:dyDescent="0.2">
      <c r="B48" s="1" t="s">
        <v>4</v>
      </c>
      <c r="M48" s="1">
        <f>199+5460</f>
        <v>5659</v>
      </c>
      <c r="N48" s="1">
        <f>100+5461</f>
        <v>5561</v>
      </c>
      <c r="O48" s="1">
        <f>100+5462</f>
        <v>5562</v>
      </c>
      <c r="P48" s="1">
        <f>99+5463</f>
        <v>5562</v>
      </c>
      <c r="Q48" s="1">
        <f>99+6158</f>
        <v>6257</v>
      </c>
      <c r="R48" s="1">
        <f>799+5460</f>
        <v>6259</v>
      </c>
      <c r="S48" s="1">
        <f>799+5461</f>
        <v>6260</v>
      </c>
      <c r="AH48" s="1">
        <f>799+5460</f>
        <v>6259</v>
      </c>
    </row>
    <row r="49" spans="2:34" x14ac:dyDescent="0.2">
      <c r="B49" s="1" t="s">
        <v>48</v>
      </c>
      <c r="M49" s="1">
        <v>4528</v>
      </c>
      <c r="N49" s="1">
        <v>4297</v>
      </c>
      <c r="O49" s="1">
        <v>3829</v>
      </c>
      <c r="P49" s="1">
        <v>4174</v>
      </c>
      <c r="Q49" s="1">
        <v>4387</v>
      </c>
      <c r="R49" s="1">
        <v>4820</v>
      </c>
      <c r="S49" s="1">
        <v>4485</v>
      </c>
      <c r="AH49" s="1">
        <v>4820</v>
      </c>
    </row>
    <row r="50" spans="2:34" x14ac:dyDescent="0.2">
      <c r="B50" s="1" t="s">
        <v>49</v>
      </c>
      <c r="M50" s="1">
        <v>3497</v>
      </c>
      <c r="N50" s="1">
        <v>2975</v>
      </c>
      <c r="O50" s="1">
        <v>3147</v>
      </c>
      <c r="P50" s="1">
        <v>2611</v>
      </c>
      <c r="Q50" s="1">
        <v>2742</v>
      </c>
      <c r="R50" s="1">
        <v>2849</v>
      </c>
      <c r="S50" s="1">
        <v>2452</v>
      </c>
      <c r="AH50" s="1">
        <v>2849</v>
      </c>
    </row>
    <row r="51" spans="2:34" x14ac:dyDescent="0.2">
      <c r="B51" s="1" t="s">
        <v>50</v>
      </c>
      <c r="M51" s="1">
        <v>818</v>
      </c>
      <c r="N51" s="1">
        <v>833</v>
      </c>
      <c r="O51" s="1">
        <v>850</v>
      </c>
      <c r="P51" s="1">
        <v>656</v>
      </c>
      <c r="Q51" s="1">
        <v>671</v>
      </c>
      <c r="R51" s="1">
        <v>670</v>
      </c>
      <c r="S51" s="1">
        <v>684</v>
      </c>
      <c r="AH51" s="1">
        <v>670</v>
      </c>
    </row>
    <row r="52" spans="2:34" x14ac:dyDescent="0.2">
      <c r="B52" s="1" t="s">
        <v>43</v>
      </c>
      <c r="M52" s="1">
        <v>815</v>
      </c>
      <c r="N52" s="1">
        <v>714</v>
      </c>
      <c r="O52" s="1">
        <v>723</v>
      </c>
      <c r="P52" s="1">
        <v>747</v>
      </c>
      <c r="Q52" s="1">
        <v>750</v>
      </c>
      <c r="R52" s="1">
        <v>810</v>
      </c>
      <c r="S52" s="1">
        <v>832</v>
      </c>
      <c r="AH52" s="1">
        <v>810</v>
      </c>
    </row>
    <row r="53" spans="2:34" s="6" customFormat="1" x14ac:dyDescent="0.2">
      <c r="B53" s="6" t="s">
        <v>51</v>
      </c>
      <c r="M53" s="6">
        <f>+SUM(M48:M52)</f>
        <v>15317</v>
      </c>
      <c r="N53" s="6">
        <f>+SUM(N48:N52)</f>
        <v>14380</v>
      </c>
      <c r="O53" s="6">
        <f>+SUM(O48:O52)</f>
        <v>14111</v>
      </c>
      <c r="P53" s="6">
        <f>+SUM(P48:P52)</f>
        <v>13750</v>
      </c>
      <c r="Q53" s="6">
        <f>+SUM(Q48:Q52)</f>
        <v>14807</v>
      </c>
      <c r="R53" s="6">
        <f>+SUM(R48:R52)</f>
        <v>15408</v>
      </c>
      <c r="S53" s="6">
        <f>+SUM(S48:S52)</f>
        <v>14713</v>
      </c>
      <c r="AH53" s="6">
        <f>+SUM(AH48:AH52)</f>
        <v>15408</v>
      </c>
    </row>
    <row r="54" spans="2:34" x14ac:dyDescent="0.2">
      <c r="B54" s="1" t="s">
        <v>52</v>
      </c>
      <c r="M54" s="1">
        <v>15093</v>
      </c>
      <c r="N54" s="1">
        <v>16349</v>
      </c>
      <c r="O54" s="1">
        <v>17429</v>
      </c>
      <c r="P54" s="1">
        <v>18199</v>
      </c>
      <c r="Q54" s="1">
        <v>18840</v>
      </c>
      <c r="R54" s="1">
        <v>19001</v>
      </c>
      <c r="S54" s="1">
        <v>18625</v>
      </c>
      <c r="AH54" s="1">
        <v>19001</v>
      </c>
    </row>
    <row r="55" spans="2:34" x14ac:dyDescent="0.2">
      <c r="B55" s="1" t="s">
        <v>53</v>
      </c>
      <c r="M55" s="1">
        <f>+M54+M53</f>
        <v>30410</v>
      </c>
      <c r="N55" s="1">
        <f>+N54+N53</f>
        <v>30729</v>
      </c>
      <c r="O55" s="1">
        <f>+O54+O53</f>
        <v>31540</v>
      </c>
      <c r="P55" s="1">
        <f>+P54+P53</f>
        <v>31949</v>
      </c>
      <c r="Q55" s="1">
        <f>+Q54+Q53</f>
        <v>33647</v>
      </c>
      <c r="R55" s="1">
        <f>+R54+R53</f>
        <v>34409</v>
      </c>
      <c r="S55" s="1">
        <f>+S54+S53</f>
        <v>33338</v>
      </c>
      <c r="AH55" s="1">
        <f>+AH54+AH53</f>
        <v>34409</v>
      </c>
    </row>
    <row r="57" spans="2:34" x14ac:dyDescent="0.2">
      <c r="B57" s="1" t="s">
        <v>54</v>
      </c>
      <c r="M57" s="1">
        <f t="shared" ref="M57:O57" si="27">+SUM(J28:M28)</f>
        <v>6455</v>
      </c>
      <c r="N57" s="1">
        <f t="shared" si="27"/>
        <v>7115</v>
      </c>
      <c r="O57" s="1">
        <f t="shared" si="27"/>
        <v>7417</v>
      </c>
      <c r="P57" s="1">
        <f>+SUM(M28:P28)</f>
        <v>7564</v>
      </c>
      <c r="Q57" s="1">
        <f>+SUM(N28:Q28)</f>
        <v>7709</v>
      </c>
      <c r="R57" s="1">
        <f>+SUM(O28:R28)</f>
        <v>7177</v>
      </c>
      <c r="S57" s="1">
        <f>+SUM(P28:S28)</f>
        <v>6343</v>
      </c>
      <c r="AH57" s="1">
        <f>+AH28</f>
        <v>7177</v>
      </c>
    </row>
    <row r="58" spans="2:34" s="10" customFormat="1" x14ac:dyDescent="0.2">
      <c r="B58" s="10" t="s">
        <v>74</v>
      </c>
      <c r="M58" s="10">
        <f>+M57/(M41+M42+M43+M44+M46)</f>
        <v>0.36549459260517525</v>
      </c>
      <c r="N58" s="10">
        <f>+N57/(N41+N42+N43+N44+N46)</f>
        <v>0.40534381587193075</v>
      </c>
      <c r="O58" s="10">
        <f>+O57/(O41+O42+O43+O44+O46)</f>
        <v>0.4331600770892951</v>
      </c>
      <c r="P58" s="10">
        <f>+P57/(P41+P42+P43+P44+P46)</f>
        <v>0.43461273270512524</v>
      </c>
      <c r="Q58" s="10">
        <f>+Q57/(Q41+Q42+Q43+Q44+Q46)</f>
        <v>0.43878422220957369</v>
      </c>
      <c r="R58" s="10">
        <f>+R57/(R41+R42+R43+R44+R46)</f>
        <v>0.3949917446340121</v>
      </c>
      <c r="S58" s="10">
        <f>+S57/(S41+S42+S43+S44+S46)</f>
        <v>0.34409243788651406</v>
      </c>
      <c r="AH58" s="10">
        <f>+AH57/(AH41+AH42+AH43+AH44+AH46)</f>
        <v>0.3949917446340121</v>
      </c>
    </row>
    <row r="60" spans="2:34" x14ac:dyDescent="0.2">
      <c r="B60" s="1" t="s">
        <v>55</v>
      </c>
      <c r="O60" s="1">
        <f>+O28</f>
        <v>2019</v>
      </c>
      <c r="P60" s="1">
        <f>+P28</f>
        <v>1722</v>
      </c>
      <c r="Q60" s="1">
        <f>+Q28</f>
        <v>1705</v>
      </c>
      <c r="R60" s="1">
        <f>+R28</f>
        <v>1731</v>
      </c>
      <c r="S60" s="1">
        <f>+S28</f>
        <v>1185</v>
      </c>
      <c r="AH60" s="1">
        <f>+AH28</f>
        <v>7177</v>
      </c>
    </row>
    <row r="61" spans="2:34" x14ac:dyDescent="0.2">
      <c r="B61" s="1" t="s">
        <v>56</v>
      </c>
      <c r="O61" s="1">
        <v>2019</v>
      </c>
      <c r="P61" s="1">
        <f>3741-O61</f>
        <v>1722</v>
      </c>
      <c r="Q61" s="1">
        <f>5446-SUM(O61:P61)</f>
        <v>1705</v>
      </c>
      <c r="R61" s="1">
        <f>+AH61-SUM(O61:Q61)</f>
        <v>1731</v>
      </c>
      <c r="S61" s="1">
        <v>1185</v>
      </c>
      <c r="AH61" s="1">
        <v>7177</v>
      </c>
    </row>
    <row r="62" spans="2:34" x14ac:dyDescent="0.2">
      <c r="B62" s="1" t="s">
        <v>57</v>
      </c>
      <c r="O62" s="1">
        <v>91</v>
      </c>
      <c r="P62" s="1">
        <f>187-O62</f>
        <v>96</v>
      </c>
      <c r="Q62" s="1">
        <f>282-SUM(O62:P62)</f>
        <v>95</v>
      </c>
      <c r="R62" s="1">
        <f t="shared" ref="R62:R66" si="28">+AH62-SUM(O62:Q62)</f>
        <v>110</v>
      </c>
      <c r="S62" s="1">
        <v>105</v>
      </c>
      <c r="AH62" s="1">
        <v>392</v>
      </c>
    </row>
    <row r="63" spans="2:34" x14ac:dyDescent="0.2">
      <c r="B63" s="1" t="s">
        <v>58</v>
      </c>
      <c r="O63" s="1">
        <v>170</v>
      </c>
      <c r="P63" s="1">
        <f>304-O63</f>
        <v>134</v>
      </c>
      <c r="Q63" s="1">
        <f>436-SUM(O63:P63)</f>
        <v>132</v>
      </c>
      <c r="R63" s="1">
        <f t="shared" si="28"/>
        <v>141</v>
      </c>
      <c r="S63" s="1">
        <v>195</v>
      </c>
      <c r="AH63" s="1">
        <v>577</v>
      </c>
    </row>
    <row r="64" spans="2:34" x14ac:dyDescent="0.2">
      <c r="B64" s="1" t="s">
        <v>46</v>
      </c>
      <c r="O64" s="1">
        <v>-72</v>
      </c>
      <c r="P64" s="1">
        <f>-206-O64</f>
        <v>-134</v>
      </c>
      <c r="Q64" s="1">
        <f>-385-SUM(O64:P64)</f>
        <v>-179</v>
      </c>
      <c r="R64" s="1">
        <f t="shared" si="28"/>
        <v>-248</v>
      </c>
      <c r="S64" s="1">
        <v>668</v>
      </c>
      <c r="AH64" s="1">
        <v>-633</v>
      </c>
    </row>
    <row r="65" spans="2:34" x14ac:dyDescent="0.2">
      <c r="B65" s="1" t="s">
        <v>43</v>
      </c>
      <c r="O65" s="1">
        <v>-235</v>
      </c>
      <c r="P65" s="1">
        <f>-247-O65</f>
        <v>-12</v>
      </c>
      <c r="Q65" s="1">
        <f>-199-SUM(O65:P65)</f>
        <v>48</v>
      </c>
      <c r="R65" s="1">
        <f t="shared" si="28"/>
        <v>246</v>
      </c>
      <c r="S65" s="1">
        <v>95</v>
      </c>
      <c r="AH65" s="1">
        <v>47</v>
      </c>
    </row>
    <row r="66" spans="2:34" x14ac:dyDescent="0.2">
      <c r="B66" s="1" t="s">
        <v>59</v>
      </c>
      <c r="O66" s="1">
        <f>465+79+38-539+172+128+9</f>
        <v>352</v>
      </c>
      <c r="P66" s="1">
        <f>387+34+152-255-364-17+1-O66</f>
        <v>-414</v>
      </c>
      <c r="Q66" s="1">
        <f>195+157+353-20-233+46+24-SUM(O66:P66)</f>
        <v>584</v>
      </c>
      <c r="R66" s="1">
        <f t="shared" si="28"/>
        <v>595</v>
      </c>
      <c r="S66" s="1">
        <f>-764-80+115-429-397+200+32</f>
        <v>-1323</v>
      </c>
      <c r="AH66" s="1">
        <f>-69+304+287+281-126+389+51</f>
        <v>1117</v>
      </c>
    </row>
    <row r="67" spans="2:34" s="6" customFormat="1" x14ac:dyDescent="0.2">
      <c r="B67" s="6" t="s">
        <v>60</v>
      </c>
      <c r="O67" s="6">
        <f>+SUM(O61:O66)</f>
        <v>2325</v>
      </c>
      <c r="P67" s="6">
        <f>+SUM(P61:P66)</f>
        <v>1392</v>
      </c>
      <c r="Q67" s="6">
        <f>+SUM(Q61:Q66)</f>
        <v>2385</v>
      </c>
      <c r="R67" s="6">
        <f>+SUM(R61:R66)</f>
        <v>2575</v>
      </c>
      <c r="S67" s="6">
        <f>+SUM(S61:S66)</f>
        <v>925</v>
      </c>
      <c r="AH67" s="6">
        <f>+SUM(AH61:AH66)</f>
        <v>8677</v>
      </c>
    </row>
    <row r="69" spans="2:34" s="6" customFormat="1" x14ac:dyDescent="0.2">
      <c r="B69" s="6" t="s">
        <v>61</v>
      </c>
      <c r="O69" s="6">
        <v>-229</v>
      </c>
      <c r="P69" s="6">
        <f>-486-O69</f>
        <v>-257</v>
      </c>
      <c r="Q69" s="6">
        <f>-783-SUM(O69:P69)</f>
        <v>-297</v>
      </c>
      <c r="R69" s="6">
        <f t="shared" ref="R69:R79" si="29">+AH69-SUM(O69:Q69)</f>
        <v>-407</v>
      </c>
      <c r="S69" s="6">
        <v>-381</v>
      </c>
      <c r="AH69" s="6">
        <v>-1190</v>
      </c>
    </row>
    <row r="70" spans="2:34" x14ac:dyDescent="0.2">
      <c r="B70" s="1" t="s">
        <v>62</v>
      </c>
      <c r="O70" s="1">
        <v>0</v>
      </c>
      <c r="P70" s="1">
        <v>0</v>
      </c>
      <c r="Q70" s="1">
        <v>0</v>
      </c>
      <c r="R70" s="1">
        <f t="shared" si="29"/>
        <v>0</v>
      </c>
      <c r="S70" s="1">
        <v>-28</v>
      </c>
      <c r="AH70" s="1">
        <v>0</v>
      </c>
    </row>
    <row r="71" spans="2:34" x14ac:dyDescent="0.2">
      <c r="B71" s="1" t="s">
        <v>63</v>
      </c>
      <c r="O71" s="1">
        <f>531-749</f>
        <v>-218</v>
      </c>
      <c r="P71" s="1">
        <f>1113-O71</f>
        <v>1331</v>
      </c>
      <c r="Q71" s="1">
        <f>1495-1968-SUM(O71:P71)</f>
        <v>-1586</v>
      </c>
      <c r="R71" s="1">
        <f t="shared" si="29"/>
        <v>-664</v>
      </c>
      <c r="S71" s="1">
        <f>1223-1711</f>
        <v>-488</v>
      </c>
      <c r="AH71" s="1">
        <f>2451-3588</f>
        <v>-1137</v>
      </c>
    </row>
    <row r="72" spans="2:34" x14ac:dyDescent="0.2">
      <c r="B72" s="1" t="s">
        <v>64</v>
      </c>
      <c r="O72" s="1">
        <f>+SUM(O69:O71)</f>
        <v>-447</v>
      </c>
      <c r="P72" s="1">
        <f>+SUM(P69:P71)</f>
        <v>1074</v>
      </c>
      <c r="Q72" s="1">
        <f>+SUM(Q69:Q71)</f>
        <v>-1883</v>
      </c>
      <c r="R72" s="1">
        <f>+SUM(R69:R71)</f>
        <v>-1071</v>
      </c>
      <c r="S72" s="1">
        <f>+SUM(S69:S71)</f>
        <v>-897</v>
      </c>
      <c r="AH72" s="1">
        <f>+SUM(AH69:AH71)</f>
        <v>-2327</v>
      </c>
    </row>
    <row r="74" spans="2:34" x14ac:dyDescent="0.2">
      <c r="B74" s="1" t="s">
        <v>4</v>
      </c>
      <c r="O74" s="1">
        <f>100-100</f>
        <v>0</v>
      </c>
      <c r="P74" s="1">
        <f>200-200-O74</f>
        <v>0</v>
      </c>
      <c r="Q74" s="1">
        <f>694+300-300-SUM(O74:P74)</f>
        <v>694</v>
      </c>
      <c r="R74" s="1">
        <f t="shared" si="29"/>
        <v>1</v>
      </c>
      <c r="S74" s="1">
        <f>200-200</f>
        <v>0</v>
      </c>
      <c r="AH74" s="1">
        <f>694+401-400</f>
        <v>695</v>
      </c>
    </row>
    <row r="75" spans="2:34" x14ac:dyDescent="0.2">
      <c r="B75" s="1" t="s">
        <v>67</v>
      </c>
      <c r="O75" s="1">
        <v>0</v>
      </c>
      <c r="P75" s="1">
        <f>119-O75</f>
        <v>119</v>
      </c>
      <c r="Q75" s="1">
        <f>119-SUM(O75:P75)</f>
        <v>0</v>
      </c>
      <c r="R75" s="1">
        <f t="shared" si="29"/>
        <v>124</v>
      </c>
      <c r="S75" s="1">
        <v>0</v>
      </c>
      <c r="AH75" s="1">
        <v>243</v>
      </c>
    </row>
    <row r="76" spans="2:34" x14ac:dyDescent="0.2">
      <c r="B76" s="1" t="s">
        <v>68</v>
      </c>
      <c r="O76" s="1">
        <v>-700</v>
      </c>
      <c r="P76" s="1">
        <f>-1520-O76</f>
        <v>-820</v>
      </c>
      <c r="Q76" s="1">
        <f>-2381-SUM(O76:P76)</f>
        <v>-861</v>
      </c>
      <c r="R76" s="1">
        <f t="shared" si="29"/>
        <v>-1442</v>
      </c>
      <c r="S76" s="1">
        <v>-1318</v>
      </c>
      <c r="AH76" s="1">
        <v>-3823</v>
      </c>
    </row>
    <row r="77" spans="2:34" x14ac:dyDescent="0.2">
      <c r="B77" s="1" t="s">
        <v>65</v>
      </c>
      <c r="O77" s="1">
        <v>-192</v>
      </c>
      <c r="P77" s="1">
        <f>-233-O77</f>
        <v>-41</v>
      </c>
      <c r="Q77" s="1">
        <f>-258-SUM(O77:P77)</f>
        <v>-25</v>
      </c>
      <c r="R77" s="1">
        <f t="shared" si="29"/>
        <v>-33</v>
      </c>
      <c r="S77" s="1">
        <v>-142</v>
      </c>
      <c r="AH77" s="1">
        <v>-291</v>
      </c>
    </row>
    <row r="78" spans="2:34" x14ac:dyDescent="0.2">
      <c r="B78" s="1" t="s">
        <v>66</v>
      </c>
      <c r="O78" s="1">
        <v>-266</v>
      </c>
      <c r="P78" s="1">
        <f>-532-O78</f>
        <v>-266</v>
      </c>
      <c r="Q78" s="1">
        <f>-863-SUM(O78:P78)</f>
        <v>-331</v>
      </c>
      <c r="R78" s="1">
        <f t="shared" si="29"/>
        <v>-329</v>
      </c>
      <c r="S78" s="1">
        <v>-326</v>
      </c>
      <c r="AH78" s="1">
        <v>-1192</v>
      </c>
    </row>
    <row r="79" spans="2:34" x14ac:dyDescent="0.2">
      <c r="B79" s="1" t="s">
        <v>69</v>
      </c>
      <c r="O79" s="1">
        <v>1</v>
      </c>
      <c r="P79" s="1">
        <f>-13-O79</f>
        <v>-14</v>
      </c>
      <c r="Q79" s="1">
        <f>-12-SUM(O79:P79)</f>
        <v>1</v>
      </c>
      <c r="R79" s="1">
        <f t="shared" si="29"/>
        <v>-90</v>
      </c>
      <c r="S79" s="1">
        <v>0</v>
      </c>
      <c r="AH79" s="1">
        <v>-102</v>
      </c>
    </row>
    <row r="80" spans="2:34" x14ac:dyDescent="0.2">
      <c r="B80" s="1" t="s">
        <v>70</v>
      </c>
      <c r="O80" s="1">
        <f>+SUM(O74:O79)</f>
        <v>-1157</v>
      </c>
      <c r="P80" s="1">
        <f>+SUM(P74:P79)</f>
        <v>-1022</v>
      </c>
      <c r="Q80" s="1">
        <f>+SUM(Q74:Q79)</f>
        <v>-522</v>
      </c>
      <c r="R80" s="1">
        <f>+SUM(R74:R79)</f>
        <v>-1769</v>
      </c>
      <c r="S80" s="1">
        <f>+SUM(S74:S79)</f>
        <v>-1786</v>
      </c>
      <c r="AH80" s="1">
        <f>+SUM(AH74:AH79)</f>
        <v>-4470</v>
      </c>
    </row>
    <row r="81" spans="2:34" x14ac:dyDescent="0.2">
      <c r="B81" s="1" t="s">
        <v>71</v>
      </c>
      <c r="O81" s="1">
        <f>+O67+O72+O80</f>
        <v>721</v>
      </c>
      <c r="P81" s="1">
        <f>+P67+P72+P80</f>
        <v>1444</v>
      </c>
      <c r="Q81" s="1">
        <f>+Q67+Q72+Q80</f>
        <v>-20</v>
      </c>
      <c r="R81" s="1">
        <f>+R67+R72+R80</f>
        <v>-265</v>
      </c>
      <c r="S81" s="1">
        <f>+S67+S72+S80</f>
        <v>-1758</v>
      </c>
      <c r="AH81" s="1">
        <f>+AH67+AH72+AH80</f>
        <v>1880</v>
      </c>
    </row>
    <row r="83" spans="2:34" x14ac:dyDescent="0.2">
      <c r="B83" s="1" t="s">
        <v>72</v>
      </c>
      <c r="O83" s="1">
        <f t="shared" ref="O83:P83" si="30">+O67+O69</f>
        <v>2096</v>
      </c>
      <c r="P83" s="1">
        <f t="shared" si="30"/>
        <v>1135</v>
      </c>
      <c r="Q83" s="1">
        <f>+Q67+Q69</f>
        <v>2088</v>
      </c>
      <c r="R83" s="1">
        <f>+R67+R69</f>
        <v>2168</v>
      </c>
      <c r="S83" s="1">
        <f>+S67+S69</f>
        <v>544</v>
      </c>
      <c r="AH83" s="1">
        <f>+AH67+AH69</f>
        <v>7487</v>
      </c>
    </row>
    <row r="84" spans="2:34" x14ac:dyDescent="0.2">
      <c r="B84" s="1" t="s">
        <v>73</v>
      </c>
      <c r="R84" s="1">
        <f>+SUM(O83:R83)</f>
        <v>7487</v>
      </c>
      <c r="S84" s="1">
        <f>+SUM(P83:S83)</f>
        <v>5935</v>
      </c>
    </row>
  </sheetData>
  <hyperlinks>
    <hyperlink ref="A1" location="Main!A1" display="Main" xr:uid="{FE351A7F-1104-46BA-8F07-2350A03DBF72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494B-09E5-477F-A6CF-9F91BB0945AE}">
  <dimension ref="A1:R56"/>
  <sheetViews>
    <sheetView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D44" sqref="D44"/>
    </sheetView>
  </sheetViews>
  <sheetFormatPr defaultRowHeight="12.75" x14ac:dyDescent="0.2"/>
  <cols>
    <col min="1" max="1" width="5" bestFit="1" customWidth="1"/>
    <col min="2" max="2" width="21.85546875" bestFit="1" customWidth="1"/>
  </cols>
  <sheetData>
    <row r="1" spans="1:16" s="9" customFormat="1" x14ac:dyDescent="0.2">
      <c r="A1" s="24" t="s">
        <v>120</v>
      </c>
      <c r="G1" s="9">
        <v>45319</v>
      </c>
      <c r="K1" s="9">
        <v>45683</v>
      </c>
    </row>
    <row r="2" spans="1:16" x14ac:dyDescent="0.2">
      <c r="B2" s="17" t="s">
        <v>6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75</v>
      </c>
      <c r="L2" s="4"/>
      <c r="N2">
        <v>2022</v>
      </c>
      <c r="O2">
        <v>2023</v>
      </c>
      <c r="P2">
        <f>+O2+1</f>
        <v>2024</v>
      </c>
    </row>
    <row r="3" spans="1:16" s="27" customFormat="1" x14ac:dyDescent="0.2">
      <c r="A3" s="1"/>
      <c r="B3" s="44" t="s">
        <v>76</v>
      </c>
      <c r="C3" s="28"/>
      <c r="D3" s="28"/>
      <c r="E3" s="28"/>
      <c r="F3" s="28"/>
      <c r="G3" s="28">
        <v>4909</v>
      </c>
      <c r="H3" s="28"/>
      <c r="I3" s="28"/>
      <c r="J3" s="28"/>
      <c r="K3" s="28">
        <v>5356</v>
      </c>
      <c r="L3" s="28"/>
      <c r="M3" s="28"/>
      <c r="N3" s="28">
        <v>18797</v>
      </c>
      <c r="O3" s="45">
        <v>19698</v>
      </c>
      <c r="P3" s="45">
        <v>19911</v>
      </c>
    </row>
    <row r="4" spans="1:16" s="3" customFormat="1" x14ac:dyDescent="0.2">
      <c r="B4" s="34" t="s">
        <v>109</v>
      </c>
      <c r="C4" s="26"/>
      <c r="D4" s="26"/>
      <c r="E4" s="26"/>
      <c r="F4" s="26"/>
      <c r="G4" s="26" t="e">
        <f>+G3/C3-1</f>
        <v>#DIV/0!</v>
      </c>
      <c r="H4" s="26"/>
      <c r="I4" s="26"/>
      <c r="J4" s="26"/>
      <c r="K4" s="26">
        <f>+K3/G3-1</f>
        <v>9.1057241800774014E-2</v>
      </c>
      <c r="L4" s="26"/>
      <c r="M4" s="26"/>
      <c r="N4" s="26"/>
      <c r="O4" s="35">
        <f>+O3/N3-1</f>
        <v>4.7933180826727595E-2</v>
      </c>
      <c r="P4" s="35">
        <f>+P3/O3-1</f>
        <v>1.0813280536094982E-2</v>
      </c>
    </row>
    <row r="5" spans="1:16" s="3" customFormat="1" x14ac:dyDescent="0.2">
      <c r="B5" s="34" t="s">
        <v>108</v>
      </c>
      <c r="C5" s="26"/>
      <c r="D5" s="26"/>
      <c r="E5" s="26"/>
      <c r="F5" s="26"/>
      <c r="G5" s="26">
        <f>+G3/$G$19</f>
        <v>0.73192187267034436</v>
      </c>
      <c r="H5" s="26"/>
      <c r="I5" s="26"/>
      <c r="J5" s="26"/>
      <c r="K5" s="26">
        <f>+K3/$K$19</f>
        <v>0.74741836449902321</v>
      </c>
      <c r="L5" s="26"/>
      <c r="M5" s="26"/>
      <c r="N5" s="26"/>
      <c r="O5" s="35">
        <f ca="1">+O3/O$19</f>
        <v>0.74282387882969181</v>
      </c>
      <c r="P5" s="35">
        <f ca="1">+P3/P$19</f>
        <v>0.73263858866788723</v>
      </c>
    </row>
    <row r="6" spans="1:16" x14ac:dyDescent="0.2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  <c r="P6" s="33"/>
    </row>
    <row r="7" spans="1:16" s="27" customFormat="1" x14ac:dyDescent="0.2">
      <c r="A7" s="1"/>
      <c r="B7" s="44" t="s">
        <v>102</v>
      </c>
      <c r="C7" s="28"/>
      <c r="D7" s="28"/>
      <c r="E7" s="28"/>
      <c r="F7" s="28"/>
      <c r="G7" s="28">
        <v>1476</v>
      </c>
      <c r="H7" s="28"/>
      <c r="I7" s="28"/>
      <c r="J7" s="28"/>
      <c r="K7" s="28">
        <v>1594</v>
      </c>
      <c r="L7" s="28"/>
      <c r="M7" s="28"/>
      <c r="N7" s="28">
        <v>5543</v>
      </c>
      <c r="O7" s="45">
        <v>5732</v>
      </c>
      <c r="P7" s="45">
        <v>6225</v>
      </c>
    </row>
    <row r="8" spans="1:16" s="3" customFormat="1" x14ac:dyDescent="0.2">
      <c r="B8" s="34" t="s">
        <v>109</v>
      </c>
      <c r="C8" s="26"/>
      <c r="D8" s="26"/>
      <c r="E8" s="26"/>
      <c r="F8" s="26"/>
      <c r="G8" s="26" t="e">
        <f>+G7/C7-1</f>
        <v>#DIV/0!</v>
      </c>
      <c r="H8" s="26"/>
      <c r="I8" s="26"/>
      <c r="J8" s="26"/>
      <c r="K8" s="26">
        <f>+K7/G7-1</f>
        <v>7.9945799457994626E-2</v>
      </c>
      <c r="L8" s="26"/>
      <c r="M8" s="26"/>
      <c r="N8" s="26"/>
      <c r="O8" s="35">
        <f>+O7/N7-1</f>
        <v>3.4097059354140313E-2</v>
      </c>
      <c r="P8" s="35">
        <f>+P7/O7-1</f>
        <v>8.6008374040474456E-2</v>
      </c>
    </row>
    <row r="9" spans="1:16" s="3" customFormat="1" x14ac:dyDescent="0.2">
      <c r="B9" s="34" t="s">
        <v>108</v>
      </c>
      <c r="C9" s="26"/>
      <c r="D9" s="26"/>
      <c r="E9" s="26"/>
      <c r="F9" s="26"/>
      <c r="G9" s="26">
        <f>+G7/$G$19</f>
        <v>0.22006858506038468</v>
      </c>
      <c r="H9" s="26"/>
      <c r="I9" s="26"/>
      <c r="J9" s="26"/>
      <c r="K9" s="26">
        <f>+K7/$K$19</f>
        <v>0.22243929667876081</v>
      </c>
      <c r="L9" s="26"/>
      <c r="M9" s="26"/>
      <c r="N9" s="26"/>
      <c r="O9" s="35">
        <f ca="1">+O7/O$19</f>
        <v>0.21615729888576471</v>
      </c>
      <c r="P9" s="35">
        <f ca="1">+P7/P$19</f>
        <v>0.22905304678105562</v>
      </c>
    </row>
    <row r="10" spans="1:16" x14ac:dyDescent="0.2">
      <c r="B10" s="31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  <c r="P10" s="33"/>
    </row>
    <row r="11" spans="1:16" s="27" customFormat="1" x14ac:dyDescent="0.2">
      <c r="A11" s="1"/>
      <c r="B11" s="44" t="s">
        <v>77</v>
      </c>
      <c r="C11" s="28"/>
      <c r="D11" s="28"/>
      <c r="E11" s="28"/>
      <c r="F11" s="28"/>
      <c r="G11" s="28">
        <v>244</v>
      </c>
      <c r="H11" s="28"/>
      <c r="I11" s="28"/>
      <c r="J11" s="28"/>
      <c r="K11" s="28">
        <v>183</v>
      </c>
      <c r="L11" s="28"/>
      <c r="M11" s="28"/>
      <c r="N11" s="28">
        <v>1331</v>
      </c>
      <c r="O11" s="45">
        <v>868</v>
      </c>
      <c r="P11" s="45">
        <v>885</v>
      </c>
    </row>
    <row r="12" spans="1:16" s="3" customFormat="1" x14ac:dyDescent="0.2">
      <c r="B12" s="34" t="s">
        <v>109</v>
      </c>
      <c r="C12" s="26"/>
      <c r="D12" s="26"/>
      <c r="E12" s="26"/>
      <c r="F12" s="26"/>
      <c r="G12" s="26" t="e">
        <f>+G11/C11-1</f>
        <v>#DIV/0!</v>
      </c>
      <c r="H12" s="26"/>
      <c r="I12" s="26"/>
      <c r="J12" s="26"/>
      <c r="K12" s="26">
        <f>+K11/G11-1</f>
        <v>-0.25</v>
      </c>
      <c r="L12" s="26"/>
      <c r="M12" s="26"/>
      <c r="N12" s="26"/>
      <c r="O12" s="35">
        <f>+O11/N11-1</f>
        <v>-0.34785875281743051</v>
      </c>
      <c r="P12" s="35">
        <f>+P11/O11-1</f>
        <v>1.9585253456221308E-2</v>
      </c>
    </row>
    <row r="13" spans="1:16" s="3" customFormat="1" x14ac:dyDescent="0.2">
      <c r="B13" s="34" t="s">
        <v>108</v>
      </c>
      <c r="C13" s="26"/>
      <c r="D13" s="26"/>
      <c r="E13" s="26"/>
      <c r="F13" s="26"/>
      <c r="G13" s="26">
        <f>+G11/$G$19</f>
        <v>3.6379901595348145E-2</v>
      </c>
      <c r="H13" s="26"/>
      <c r="I13" s="26"/>
      <c r="J13" s="26"/>
      <c r="K13" s="26">
        <f>+K11/$K$19</f>
        <v>2.5537259279933017E-2</v>
      </c>
      <c r="L13" s="26"/>
      <c r="M13" s="26"/>
      <c r="N13" s="26"/>
      <c r="O13" s="35">
        <f t="shared" ref="O13:P13" ca="1" si="0">+O11/O$19</f>
        <v>3.2732821952694308E-2</v>
      </c>
      <c r="P13" s="35">
        <f t="shared" ca="1" si="0"/>
        <v>3.2564168096583808E-2</v>
      </c>
    </row>
    <row r="14" spans="1:16" x14ac:dyDescent="0.2">
      <c r="B14" s="31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  <c r="P14" s="33"/>
    </row>
    <row r="15" spans="1:16" s="27" customFormat="1" x14ac:dyDescent="0.2">
      <c r="A15" s="1"/>
      <c r="B15" s="44" t="s">
        <v>103</v>
      </c>
      <c r="C15" s="28"/>
      <c r="D15" s="28"/>
      <c r="E15" s="28"/>
      <c r="F15" s="28"/>
      <c r="G15" s="28">
        <v>78</v>
      </c>
      <c r="H15" s="28"/>
      <c r="I15" s="28"/>
      <c r="J15" s="28"/>
      <c r="K15" s="28">
        <v>33</v>
      </c>
      <c r="L15" s="28"/>
      <c r="M15" s="28"/>
      <c r="N15" s="28">
        <v>114</v>
      </c>
      <c r="O15" s="45">
        <v>219</v>
      </c>
      <c r="P15" s="45">
        <v>155</v>
      </c>
    </row>
    <row r="16" spans="1:16" s="3" customFormat="1" x14ac:dyDescent="0.2">
      <c r="B16" s="34" t="s">
        <v>109</v>
      </c>
      <c r="C16" s="26"/>
      <c r="D16" s="26"/>
      <c r="E16" s="26"/>
      <c r="F16" s="26"/>
      <c r="G16" s="26" t="e">
        <f>+G15/C15-1</f>
        <v>#DIV/0!</v>
      </c>
      <c r="H16" s="26"/>
      <c r="I16" s="26"/>
      <c r="J16" s="26"/>
      <c r="K16" s="26">
        <f>+K15/G15-1</f>
        <v>-0.57692307692307687</v>
      </c>
      <c r="L16" s="26"/>
      <c r="M16" s="26"/>
      <c r="N16" s="26"/>
      <c r="O16" s="35">
        <f>+O15/N15-1</f>
        <v>0.92105263157894735</v>
      </c>
      <c r="P16" s="35">
        <f>+P15/O15-1</f>
        <v>-0.29223744292237441</v>
      </c>
    </row>
    <row r="17" spans="1:18" s="3" customFormat="1" x14ac:dyDescent="0.2">
      <c r="B17" s="34" t="s">
        <v>108</v>
      </c>
      <c r="C17" s="26"/>
      <c r="D17" s="26"/>
      <c r="E17" s="26"/>
      <c r="F17" s="26"/>
      <c r="G17" s="26">
        <f>+G15/$G$19</f>
        <v>1.1629640673922767E-2</v>
      </c>
      <c r="H17" s="26"/>
      <c r="I17" s="26"/>
      <c r="J17" s="26"/>
      <c r="K17" s="26">
        <f>+K15/$K$19</f>
        <v>4.605079542283003E-3</v>
      </c>
      <c r="L17" s="26"/>
      <c r="M17" s="26"/>
      <c r="N17" s="26"/>
      <c r="O17" s="35">
        <f t="shared" ref="O17:P17" ca="1" si="1">+O15/O$19</f>
        <v>8.2586267369125048E-3</v>
      </c>
      <c r="P17" s="35">
        <f t="shared" ca="1" si="1"/>
        <v>5.7033288756728707E-3</v>
      </c>
      <c r="R17" s="26"/>
    </row>
    <row r="18" spans="1:18" x14ac:dyDescent="0.2"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  <c r="P18" s="33"/>
    </row>
    <row r="19" spans="1:18" s="27" customFormat="1" x14ac:dyDescent="0.2">
      <c r="A19" s="1"/>
      <c r="B19" s="46" t="s">
        <v>104</v>
      </c>
      <c r="C19" s="47"/>
      <c r="D19" s="47"/>
      <c r="E19" s="47"/>
      <c r="F19" s="47"/>
      <c r="G19" s="47">
        <f>+SUM(G15,G11,G7,G3)</f>
        <v>6707</v>
      </c>
      <c r="H19" s="47"/>
      <c r="I19" s="47"/>
      <c r="J19" s="47"/>
      <c r="K19" s="47">
        <f>+SUM(K15,K11,K7,K3)</f>
        <v>7166</v>
      </c>
      <c r="L19" s="47"/>
      <c r="M19" s="47"/>
      <c r="N19" s="48">
        <f>+SUM(N3:N15)</f>
        <v>25785</v>
      </c>
      <c r="O19" s="48">
        <f ca="1">+SUM(O3:O15)</f>
        <v>26517.725885487031</v>
      </c>
      <c r="P19" s="48">
        <f ca="1">+SUM(P3:P15)</f>
        <v>27177.110662711577</v>
      </c>
    </row>
    <row r="20" spans="1:18" s="3" customFormat="1" x14ac:dyDescent="0.2">
      <c r="B20" s="34" t="s">
        <v>109</v>
      </c>
      <c r="C20" s="26"/>
      <c r="D20" s="26"/>
      <c r="E20" s="26"/>
      <c r="F20" s="26"/>
      <c r="G20" s="26" t="e">
        <f>+G19/C19-1</f>
        <v>#DIV/0!</v>
      </c>
      <c r="H20" s="26"/>
      <c r="I20" s="26"/>
      <c r="J20" s="26"/>
      <c r="K20" s="26">
        <f>+K19/G19-1</f>
        <v>6.8435962427314756E-2</v>
      </c>
      <c r="L20" s="26"/>
      <c r="M20" s="26"/>
      <c r="N20" s="26"/>
      <c r="O20" s="35">
        <f ca="1">+O19/N19-1</f>
        <v>2.8416749485632442E-2</v>
      </c>
      <c r="P20" s="35">
        <f ca="1">+P19/O19-1</f>
        <v>2.486581164885715E-2</v>
      </c>
    </row>
    <row r="21" spans="1:18" s="3" customFormat="1" x14ac:dyDescent="0.2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</row>
    <row r="22" spans="1:18" x14ac:dyDescent="0.2">
      <c r="B22" s="36" t="s">
        <v>121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</row>
    <row r="23" spans="1:18" s="27" customFormat="1" x14ac:dyDescent="0.2">
      <c r="A23" s="1"/>
      <c r="B23" s="44" t="s">
        <v>76</v>
      </c>
      <c r="C23" s="28"/>
      <c r="D23" s="28"/>
      <c r="E23" s="28"/>
      <c r="F23" s="28"/>
      <c r="G23" s="28">
        <v>1744</v>
      </c>
      <c r="H23" s="28"/>
      <c r="I23" s="28"/>
      <c r="J23" s="28"/>
      <c r="K23" s="28">
        <v>1986</v>
      </c>
      <c r="L23" s="28"/>
      <c r="M23" s="28"/>
      <c r="N23" s="28">
        <v>6790</v>
      </c>
      <c r="O23" s="28">
        <v>6879</v>
      </c>
      <c r="P23" s="45">
        <v>6981</v>
      </c>
    </row>
    <row r="24" spans="1:18" s="3" customFormat="1" x14ac:dyDescent="0.2">
      <c r="B24" s="34" t="s">
        <v>109</v>
      </c>
      <c r="C24" s="26"/>
      <c r="D24" s="26"/>
      <c r="E24" s="26"/>
      <c r="F24" s="26"/>
      <c r="G24" s="26" t="e">
        <f>+G23/C23-1</f>
        <v>#DIV/0!</v>
      </c>
      <c r="H24" s="26"/>
      <c r="I24" s="26"/>
      <c r="J24" s="26"/>
      <c r="K24" s="26">
        <f>+K23/G23-1</f>
        <v>0.13876146788990829</v>
      </c>
      <c r="L24" s="26"/>
      <c r="M24" s="26"/>
      <c r="N24" s="26"/>
      <c r="O24" s="35">
        <f>+O23/N23-1</f>
        <v>1.3107511045655329E-2</v>
      </c>
      <c r="P24" s="35">
        <f>+P23/O23-1</f>
        <v>1.4827736589620555E-2</v>
      </c>
    </row>
    <row r="25" spans="1:18" s="1" customFormat="1" x14ac:dyDescent="0.2">
      <c r="B25" s="31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33"/>
    </row>
    <row r="26" spans="1:18" s="27" customFormat="1" x14ac:dyDescent="0.2">
      <c r="A26" s="1"/>
      <c r="B26" s="44" t="s">
        <v>102</v>
      </c>
      <c r="C26" s="28"/>
      <c r="D26" s="28"/>
      <c r="E26" s="28"/>
      <c r="F26" s="28"/>
      <c r="G26" s="28">
        <v>417</v>
      </c>
      <c r="H26" s="28"/>
      <c r="I26" s="28"/>
      <c r="J26" s="28"/>
      <c r="K26" s="28">
        <v>447</v>
      </c>
      <c r="L26" s="28"/>
      <c r="M26" s="28"/>
      <c r="N26" s="28">
        <v>1555</v>
      </c>
      <c r="O26" s="28">
        <v>1529</v>
      </c>
      <c r="P26" s="45">
        <v>1812</v>
      </c>
    </row>
    <row r="27" spans="1:18" s="3" customFormat="1" x14ac:dyDescent="0.2">
      <c r="B27" s="34" t="s">
        <v>109</v>
      </c>
      <c r="C27" s="26"/>
      <c r="D27" s="26"/>
      <c r="E27" s="26"/>
      <c r="F27" s="26"/>
      <c r="G27" s="26" t="e">
        <f>+G26/C26-1</f>
        <v>#DIV/0!</v>
      </c>
      <c r="H27" s="26"/>
      <c r="I27" s="26"/>
      <c r="J27" s="26"/>
      <c r="K27" s="26">
        <f>+K26/G26-1</f>
        <v>7.1942446043165464E-2</v>
      </c>
      <c r="L27" s="26"/>
      <c r="M27" s="26"/>
      <c r="N27" s="26"/>
      <c r="O27" s="35">
        <f>+O26/N26-1</f>
        <v>-1.6720257234726699E-2</v>
      </c>
      <c r="P27" s="35">
        <f>+P26/O26-1</f>
        <v>0.18508829300196217</v>
      </c>
    </row>
    <row r="28" spans="1:18" s="1" customFormat="1" x14ac:dyDescent="0.2">
      <c r="B28" s="31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33"/>
    </row>
    <row r="29" spans="1:18" s="27" customFormat="1" x14ac:dyDescent="0.2">
      <c r="A29" s="1"/>
      <c r="B29" s="44" t="s">
        <v>77</v>
      </c>
      <c r="C29" s="28"/>
      <c r="D29" s="28"/>
      <c r="E29" s="28"/>
      <c r="F29" s="28"/>
      <c r="G29" s="28">
        <v>25</v>
      </c>
      <c r="H29" s="28"/>
      <c r="I29" s="28"/>
      <c r="J29" s="28"/>
      <c r="K29" s="28">
        <v>14</v>
      </c>
      <c r="L29" s="28"/>
      <c r="M29" s="28"/>
      <c r="N29" s="28">
        <v>243</v>
      </c>
      <c r="O29" s="28">
        <v>114</v>
      </c>
      <c r="P29" s="45">
        <v>51</v>
      </c>
    </row>
    <row r="30" spans="1:18" s="3" customFormat="1" x14ac:dyDescent="0.2">
      <c r="B30" s="34" t="s">
        <v>109</v>
      </c>
      <c r="C30" s="26"/>
      <c r="D30" s="26"/>
      <c r="E30" s="26"/>
      <c r="F30" s="26"/>
      <c r="G30" s="26" t="e">
        <f>+G29/C29-1</f>
        <v>#DIV/0!</v>
      </c>
      <c r="H30" s="26"/>
      <c r="I30" s="26"/>
      <c r="J30" s="26"/>
      <c r="K30" s="26">
        <f>+K29/G29-1</f>
        <v>-0.43999999999999995</v>
      </c>
      <c r="L30" s="26"/>
      <c r="M30" s="26"/>
      <c r="N30" s="26"/>
      <c r="O30" s="35">
        <f>+O29/N29-1</f>
        <v>-0.53086419753086422</v>
      </c>
      <c r="P30" s="35">
        <f>+P29/O29-1</f>
        <v>-0.55263157894736836</v>
      </c>
    </row>
    <row r="31" spans="1:18" s="1" customFormat="1" x14ac:dyDescent="0.2">
      <c r="B31" s="31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33"/>
    </row>
    <row r="32" spans="1:18" s="27" customFormat="1" x14ac:dyDescent="0.2">
      <c r="A32" s="1"/>
      <c r="B32" s="44" t="s">
        <v>103</v>
      </c>
      <c r="C32" s="28"/>
      <c r="D32" s="28"/>
      <c r="E32" s="28"/>
      <c r="F32" s="28"/>
      <c r="G32" s="28">
        <v>-219</v>
      </c>
      <c r="H32" s="28"/>
      <c r="I32" s="28"/>
      <c r="J32" s="28"/>
      <c r="K32" s="28">
        <v>-272</v>
      </c>
      <c r="L32" s="28"/>
      <c r="M32" s="28"/>
      <c r="N32" s="28">
        <v>-800</v>
      </c>
      <c r="O32" s="28">
        <v>-868</v>
      </c>
      <c r="P32" s="45">
        <v>-977</v>
      </c>
    </row>
    <row r="33" spans="1:16" s="3" customFormat="1" x14ac:dyDescent="0.2">
      <c r="B33" s="34" t="s">
        <v>109</v>
      </c>
      <c r="C33" s="26"/>
      <c r="D33" s="26"/>
      <c r="E33" s="26"/>
      <c r="F33" s="26"/>
      <c r="G33" s="26" t="e">
        <f>+G32/C32-1</f>
        <v>#DIV/0!</v>
      </c>
      <c r="H33" s="26"/>
      <c r="I33" s="26"/>
      <c r="J33" s="26"/>
      <c r="K33" s="26">
        <f>+K32/G32-1</f>
        <v>0.24200913242009126</v>
      </c>
      <c r="L33" s="26"/>
      <c r="M33" s="26"/>
      <c r="N33" s="26"/>
      <c r="O33" s="35">
        <f>+O32/N32-1</f>
        <v>8.4999999999999964E-2</v>
      </c>
      <c r="P33" s="35">
        <f>+P32/O32-1</f>
        <v>0.12557603686635943</v>
      </c>
    </row>
    <row r="34" spans="1:16" s="1" customFormat="1" x14ac:dyDescent="0.2">
      <c r="B34" s="31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33"/>
    </row>
    <row r="35" spans="1:16" s="27" customFormat="1" x14ac:dyDescent="0.2">
      <c r="A35" s="1"/>
      <c r="B35" s="46" t="s">
        <v>104</v>
      </c>
      <c r="C35" s="47"/>
      <c r="D35" s="47"/>
      <c r="E35" s="47"/>
      <c r="F35" s="47"/>
      <c r="G35" s="47">
        <f>+SUM(G32,G29,G26,G23)</f>
        <v>1967</v>
      </c>
      <c r="H35" s="47"/>
      <c r="I35" s="47"/>
      <c r="J35" s="47"/>
      <c r="K35" s="47">
        <f>+SUM(K32,K29,K26,K23)</f>
        <v>2175</v>
      </c>
      <c r="L35" s="47"/>
      <c r="M35" s="47"/>
      <c r="N35" s="47">
        <f>+SUM(N23:N32)</f>
        <v>7788</v>
      </c>
      <c r="O35" s="47">
        <f>+SUM(O23:O32)</f>
        <v>7653.4655230562803</v>
      </c>
      <c r="P35" s="47">
        <f>+SUM(P23:P32)</f>
        <v>7866.6472844506443</v>
      </c>
    </row>
    <row r="36" spans="1:16" s="3" customFormat="1" x14ac:dyDescent="0.2">
      <c r="B36" s="34" t="s">
        <v>109</v>
      </c>
      <c r="C36" s="26"/>
      <c r="D36" s="26"/>
      <c r="E36" s="26"/>
      <c r="F36" s="26"/>
      <c r="G36" s="26" t="e">
        <f>+G35/C35-1</f>
        <v>#DIV/0!</v>
      </c>
      <c r="H36" s="26"/>
      <c r="I36" s="26"/>
      <c r="J36" s="26"/>
      <c r="K36" s="26">
        <f>+K35/G35-1</f>
        <v>0.10574478901881035</v>
      </c>
      <c r="L36" s="26"/>
      <c r="M36" s="26"/>
      <c r="N36" s="26"/>
      <c r="O36" s="35">
        <f>+O35/N35-1</f>
        <v>-1.7274586150965554E-2</v>
      </c>
      <c r="P36" s="35">
        <f>+P35/O35-1</f>
        <v>2.7854278660059073E-2</v>
      </c>
    </row>
    <row r="37" spans="1:16" s="3" customFormat="1" x14ac:dyDescent="0.2">
      <c r="B37" s="29"/>
    </row>
    <row r="38" spans="1:16" x14ac:dyDescent="0.2">
      <c r="B38" s="17" t="s">
        <v>20</v>
      </c>
    </row>
    <row r="39" spans="1:16" s="3" customFormat="1" x14ac:dyDescent="0.2">
      <c r="B39" s="29" t="s">
        <v>76</v>
      </c>
      <c r="G39" s="3">
        <f>+G23/G3</f>
        <v>0.35526583825626401</v>
      </c>
      <c r="K39" s="3">
        <f>+K23/K3</f>
        <v>0.37079910380881254</v>
      </c>
      <c r="N39" s="3">
        <f>+N23/N3</f>
        <v>0.36122785550885778</v>
      </c>
      <c r="O39" s="3">
        <f>+O23/O3</f>
        <v>0.34922327139811149</v>
      </c>
      <c r="P39" s="3">
        <f>+P23/P3</f>
        <v>0.35061021545879162</v>
      </c>
    </row>
    <row r="40" spans="1:16" s="3" customFormat="1" x14ac:dyDescent="0.2">
      <c r="B40" s="29" t="s">
        <v>102</v>
      </c>
      <c r="G40" s="3">
        <f>+G26/G7</f>
        <v>0.28252032520325204</v>
      </c>
      <c r="K40" s="3">
        <f>+K26/K7</f>
        <v>0.28042659974905898</v>
      </c>
      <c r="N40" s="3">
        <f>+N26/N7</f>
        <v>0.2805340068554934</v>
      </c>
      <c r="O40" s="3">
        <f>+O26/O7</f>
        <v>0.26674808094905794</v>
      </c>
      <c r="P40" s="3">
        <f>+P26/P7</f>
        <v>0.29108433734939759</v>
      </c>
    </row>
    <row r="41" spans="1:16" s="3" customFormat="1" x14ac:dyDescent="0.2">
      <c r="B41" s="29" t="s">
        <v>77</v>
      </c>
      <c r="G41" s="3">
        <f>+G29/G11</f>
        <v>0.10245901639344263</v>
      </c>
      <c r="K41" s="3">
        <f>+K29/K11</f>
        <v>7.650273224043716E-2</v>
      </c>
      <c r="N41" s="3">
        <f>+N29/N11</f>
        <v>0.18256949661908339</v>
      </c>
      <c r="O41" s="3">
        <f>+O29/O11</f>
        <v>0.1313364055299539</v>
      </c>
      <c r="P41" s="3">
        <f>+P29/P11</f>
        <v>5.7627118644067797E-2</v>
      </c>
    </row>
    <row r="42" spans="1:16" s="3" customFormat="1" x14ac:dyDescent="0.2">
      <c r="B42" s="29"/>
    </row>
    <row r="43" spans="1:16" s="3" customFormat="1" x14ac:dyDescent="0.2">
      <c r="B43" s="29"/>
    </row>
    <row r="45" spans="1:16" x14ac:dyDescent="0.2">
      <c r="B45" s="50" t="s">
        <v>81</v>
      </c>
    </row>
    <row r="46" spans="1:16" s="27" customFormat="1" x14ac:dyDescent="0.2">
      <c r="A46" s="1"/>
      <c r="B46" s="27" t="s">
        <v>111</v>
      </c>
      <c r="G46" s="27">
        <f>+$G$19*G48</f>
        <v>4158.34</v>
      </c>
      <c r="K46" s="27">
        <f>+$K$19*K48</f>
        <v>4872.88</v>
      </c>
    </row>
    <row r="47" spans="1:16" s="3" customFormat="1" x14ac:dyDescent="0.2">
      <c r="B47" s="3" t="s">
        <v>109</v>
      </c>
      <c r="G47" s="3" t="e">
        <f>+G46/C46-1</f>
        <v>#DIV/0!</v>
      </c>
      <c r="K47" s="3">
        <f>+K46/G46-1</f>
        <v>0.17183299104931282</v>
      </c>
    </row>
    <row r="48" spans="1:16" s="51" customFormat="1" x14ac:dyDescent="0.2">
      <c r="B48" s="51" t="s">
        <v>108</v>
      </c>
      <c r="G48" s="51">
        <v>0.62</v>
      </c>
      <c r="K48" s="51">
        <v>0.68</v>
      </c>
    </row>
    <row r="49" spans="1:11" s="3" customFormat="1" x14ac:dyDescent="0.2"/>
    <row r="50" spans="1:11" s="27" customFormat="1" x14ac:dyDescent="0.2">
      <c r="A50" s="1"/>
      <c r="B50" s="27" t="s">
        <v>79</v>
      </c>
      <c r="G50" s="27">
        <f>+$G$19*G52</f>
        <v>2280.38</v>
      </c>
      <c r="K50" s="27">
        <f>+$K$19*K52</f>
        <v>2006.4800000000002</v>
      </c>
    </row>
    <row r="51" spans="1:11" s="3" customFormat="1" x14ac:dyDescent="0.2">
      <c r="B51" s="3" t="s">
        <v>109</v>
      </c>
      <c r="G51" s="3" t="e">
        <f>+G50/C50-1</f>
        <v>#DIV/0!</v>
      </c>
      <c r="K51" s="3">
        <f>+K50/G50-1</f>
        <v>-0.12011156035397608</v>
      </c>
    </row>
    <row r="52" spans="1:11" s="3" customFormat="1" x14ac:dyDescent="0.2">
      <c r="B52" s="3" t="s">
        <v>108</v>
      </c>
      <c r="G52" s="3">
        <v>0.34</v>
      </c>
      <c r="K52" s="3">
        <v>0.28000000000000003</v>
      </c>
    </row>
    <row r="53" spans="1:11" s="3" customFormat="1" x14ac:dyDescent="0.2"/>
    <row r="54" spans="1:11" s="27" customFormat="1" x14ac:dyDescent="0.2">
      <c r="A54" s="1"/>
      <c r="B54" s="27" t="s">
        <v>80</v>
      </c>
      <c r="G54" s="27">
        <f>+$G$19*G56</f>
        <v>268.28000000000003</v>
      </c>
      <c r="K54" s="27">
        <f>+$K$19*K56</f>
        <v>286.64</v>
      </c>
    </row>
    <row r="55" spans="1:11" x14ac:dyDescent="0.2">
      <c r="B55" s="3" t="s">
        <v>109</v>
      </c>
      <c r="G55" s="3" t="e">
        <f>+G54/C54-1</f>
        <v>#DIV/0!</v>
      </c>
      <c r="K55" s="3">
        <f>+K54/G54-1</f>
        <v>6.8435962427314534E-2</v>
      </c>
    </row>
    <row r="56" spans="1:11" x14ac:dyDescent="0.2">
      <c r="B56" s="3" t="s">
        <v>108</v>
      </c>
      <c r="G56" s="3">
        <v>0.04</v>
      </c>
      <c r="H56" s="3"/>
      <c r="I56" s="3"/>
      <c r="J56" s="3"/>
      <c r="K56" s="3">
        <v>0.04</v>
      </c>
    </row>
  </sheetData>
  <hyperlinks>
    <hyperlink ref="A1" location="Main!A1" display="Main" xr:uid="{EFDE0AD0-4FC3-4CF2-B398-9BDC8A03E956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1DED-40C6-47D2-B5B7-12FA9F4F0B5F}">
  <dimension ref="A1:O47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G53" sqref="G53"/>
    </sheetView>
  </sheetViews>
  <sheetFormatPr defaultRowHeight="12.75" x14ac:dyDescent="0.2"/>
  <cols>
    <col min="1" max="1" width="5" bestFit="1" customWidth="1"/>
    <col min="2" max="2" width="13.85546875" bestFit="1" customWidth="1"/>
  </cols>
  <sheetData>
    <row r="1" spans="1:15" s="9" customFormat="1" x14ac:dyDescent="0.2">
      <c r="A1" s="24" t="s">
        <v>120</v>
      </c>
      <c r="G1" s="9">
        <v>45319</v>
      </c>
      <c r="K1" s="9">
        <v>45683</v>
      </c>
    </row>
    <row r="2" spans="1:15" x14ac:dyDescent="0.2"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75</v>
      </c>
      <c r="N2" s="23">
        <v>2023</v>
      </c>
      <c r="O2" s="23">
        <f>+N2+1</f>
        <v>2024</v>
      </c>
    </row>
    <row r="3" spans="1:15" s="27" customFormat="1" x14ac:dyDescent="0.2">
      <c r="A3" s="1"/>
      <c r="B3" s="28" t="s">
        <v>112</v>
      </c>
      <c r="C3" s="28"/>
      <c r="D3" s="28"/>
      <c r="E3" s="28"/>
      <c r="F3" s="28"/>
      <c r="G3" s="28">
        <v>2997</v>
      </c>
      <c r="H3" s="28"/>
      <c r="I3" s="28"/>
      <c r="J3" s="28"/>
      <c r="K3" s="28">
        <v>2243</v>
      </c>
      <c r="L3" s="28"/>
      <c r="M3" s="28"/>
      <c r="N3" s="28">
        <v>7247</v>
      </c>
      <c r="O3" s="28">
        <v>10117</v>
      </c>
    </row>
    <row r="4" spans="1:15" s="3" customFormat="1" x14ac:dyDescent="0.2">
      <c r="B4" s="26" t="s">
        <v>109</v>
      </c>
      <c r="C4" s="26"/>
      <c r="D4" s="26"/>
      <c r="E4" s="26"/>
      <c r="F4" s="26"/>
      <c r="G4" s="26" t="e">
        <f>+G3/C3-1</f>
        <v>#DIV/0!</v>
      </c>
      <c r="H4" s="26"/>
      <c r="I4" s="26"/>
      <c r="J4" s="26"/>
      <c r="K4" s="26">
        <f>+K3/G3-1</f>
        <v>-0.25158491825158491</v>
      </c>
      <c r="L4" s="26"/>
      <c r="M4" s="26"/>
      <c r="N4" s="26"/>
      <c r="O4" s="26">
        <f>+O3/N3-1</f>
        <v>0.39602594176900796</v>
      </c>
    </row>
    <row r="5" spans="1:15" s="3" customFormat="1" x14ac:dyDescent="0.2">
      <c r="B5" s="26" t="s">
        <v>108</v>
      </c>
      <c r="C5" s="26"/>
      <c r="D5" s="26"/>
      <c r="E5" s="26"/>
      <c r="F5" s="26"/>
      <c r="G5" s="26">
        <f>+G3/$G$35</f>
        <v>0.44684657820187862</v>
      </c>
      <c r="H5" s="26"/>
      <c r="I5" s="26"/>
      <c r="J5" s="26"/>
      <c r="K5" s="26">
        <f>+K3/$K$35</f>
        <v>0.31300586101032657</v>
      </c>
      <c r="L5" s="26"/>
      <c r="M5" s="26"/>
      <c r="N5" s="26">
        <f ca="1">+N3/$N$35</f>
        <v>0.2732872011070519</v>
      </c>
      <c r="O5" s="26">
        <f ca="1">+O3/$O$35</f>
        <v>0.3722636654515421</v>
      </c>
    </row>
    <row r="6" spans="1:15" s="3" customFormat="1" x14ac:dyDescent="0.2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 spans="1:15" s="27" customFormat="1" x14ac:dyDescent="0.2">
      <c r="A7" s="1"/>
      <c r="B7" s="28" t="s">
        <v>113</v>
      </c>
      <c r="C7" s="28"/>
      <c r="D7" s="28"/>
      <c r="E7" s="28"/>
      <c r="F7" s="28"/>
      <c r="G7" s="28">
        <v>1231</v>
      </c>
      <c r="H7" s="28"/>
      <c r="I7" s="28"/>
      <c r="J7" s="28"/>
      <c r="K7" s="28">
        <v>1667</v>
      </c>
      <c r="L7" s="28"/>
      <c r="M7" s="28"/>
      <c r="N7" s="28">
        <v>4609</v>
      </c>
      <c r="O7" s="28">
        <v>4493</v>
      </c>
    </row>
    <row r="8" spans="1:15" s="3" customFormat="1" x14ac:dyDescent="0.2">
      <c r="B8" s="26" t="s">
        <v>109</v>
      </c>
      <c r="C8" s="26"/>
      <c r="D8" s="26"/>
      <c r="E8" s="26"/>
      <c r="F8" s="26"/>
      <c r="G8" s="26" t="e">
        <f>+G7/C7-1</f>
        <v>#DIV/0!</v>
      </c>
      <c r="H8" s="26"/>
      <c r="I8" s="26"/>
      <c r="J8" s="26"/>
      <c r="K8" s="26">
        <f>+K7/G7-1</f>
        <v>0.35418359057676696</v>
      </c>
      <c r="L8" s="26"/>
      <c r="M8" s="26"/>
      <c r="N8" s="26"/>
      <c r="O8" s="26">
        <f>+O7/N7-1</f>
        <v>-2.5168149273161244E-2</v>
      </c>
    </row>
    <row r="9" spans="1:15" s="3" customFormat="1" x14ac:dyDescent="0.2">
      <c r="B9" s="26" t="s">
        <v>108</v>
      </c>
      <c r="C9" s="26"/>
      <c r="D9" s="26"/>
      <c r="E9" s="26"/>
      <c r="F9" s="26"/>
      <c r="G9" s="26">
        <f>+G7/$G$35</f>
        <v>0.18353958550767854</v>
      </c>
      <c r="H9" s="26"/>
      <c r="I9" s="26"/>
      <c r="J9" s="26"/>
      <c r="K9" s="26">
        <f>+K7/$K$35</f>
        <v>0.23262629081775049</v>
      </c>
      <c r="L9" s="26"/>
      <c r="M9" s="26"/>
      <c r="N9" s="26">
        <f ca="1">+N7/$N$35</f>
        <v>0.17380719054814436</v>
      </c>
      <c r="O9" s="26">
        <f ca="1">+O7/$O$35</f>
        <v>0.16532377669998802</v>
      </c>
    </row>
    <row r="10" spans="1:15" s="3" customFormat="1" x14ac:dyDescent="0.2"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5" s="27" customFormat="1" x14ac:dyDescent="0.2">
      <c r="A11" s="1"/>
      <c r="B11" s="28" t="s">
        <v>114</v>
      </c>
      <c r="C11" s="28"/>
      <c r="D11" s="28"/>
      <c r="E11" s="28"/>
      <c r="F11" s="28"/>
      <c r="G11" s="28">
        <v>559</v>
      </c>
      <c r="H11" s="28"/>
      <c r="I11" s="28"/>
      <c r="J11" s="28"/>
      <c r="K11" s="28">
        <v>1183</v>
      </c>
      <c r="L11" s="28"/>
      <c r="M11" s="28"/>
      <c r="N11" s="28">
        <v>5670</v>
      </c>
      <c r="O11" s="28">
        <v>4010</v>
      </c>
    </row>
    <row r="12" spans="1:15" s="3" customFormat="1" x14ac:dyDescent="0.2">
      <c r="B12" s="26" t="s">
        <v>109</v>
      </c>
      <c r="C12" s="26"/>
      <c r="D12" s="26"/>
      <c r="E12" s="26"/>
      <c r="F12" s="26"/>
      <c r="G12" s="26" t="e">
        <f>+G11/C11-1</f>
        <v>#DIV/0!</v>
      </c>
      <c r="H12" s="26"/>
      <c r="I12" s="26"/>
      <c r="J12" s="26"/>
      <c r="K12" s="26">
        <f>+K11/G11-1</f>
        <v>1.1162790697674421</v>
      </c>
      <c r="L12" s="26"/>
      <c r="M12" s="26"/>
      <c r="N12" s="26"/>
      <c r="O12" s="26">
        <f>+O11/N11-1</f>
        <v>-0.29276895943562609</v>
      </c>
    </row>
    <row r="13" spans="1:15" s="3" customFormat="1" x14ac:dyDescent="0.2">
      <c r="B13" s="26" t="s">
        <v>108</v>
      </c>
      <c r="C13" s="26"/>
      <c r="D13" s="26"/>
      <c r="E13" s="26"/>
      <c r="F13" s="26"/>
      <c r="G13" s="26">
        <f>+G11/$G$35</f>
        <v>8.3345758163113168E-2</v>
      </c>
      <c r="H13" s="26"/>
      <c r="I13" s="26"/>
      <c r="J13" s="26"/>
      <c r="K13" s="26">
        <f>+K11/$K$35</f>
        <v>0.16508512419759977</v>
      </c>
      <c r="L13" s="26"/>
      <c r="M13" s="26"/>
      <c r="N13" s="26">
        <f ca="1">+N11/$N$35</f>
        <v>0.21381791503753061</v>
      </c>
      <c r="O13" s="26">
        <f ca="1">+O11/$O$35</f>
        <v>0.14755137871510168</v>
      </c>
    </row>
    <row r="14" spans="1:15" s="3" customFormat="1" x14ac:dyDescent="0.2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5" s="27" customFormat="1" ht="12" customHeight="1" x14ac:dyDescent="0.2">
      <c r="A15" s="1"/>
      <c r="B15" s="28" t="s">
        <v>115</v>
      </c>
      <c r="C15" s="28"/>
      <c r="D15" s="28"/>
      <c r="E15" s="28"/>
      <c r="F15" s="28"/>
      <c r="G15" s="28">
        <v>565</v>
      </c>
      <c r="H15" s="28"/>
      <c r="I15" s="28"/>
      <c r="J15" s="28"/>
      <c r="K15" s="28">
        <v>540</v>
      </c>
      <c r="L15" s="28"/>
      <c r="M15" s="28"/>
      <c r="N15" s="28">
        <v>2075</v>
      </c>
      <c r="O15" s="28">
        <v>2154</v>
      </c>
    </row>
    <row r="16" spans="1:15" s="3" customFormat="1" x14ac:dyDescent="0.2">
      <c r="B16" s="26" t="s">
        <v>109</v>
      </c>
      <c r="C16" s="26"/>
      <c r="D16" s="26"/>
      <c r="E16" s="26"/>
      <c r="F16" s="26"/>
      <c r="G16" s="26" t="e">
        <f>+G15/C15-1</f>
        <v>#DIV/0!</v>
      </c>
      <c r="H16" s="26"/>
      <c r="I16" s="26"/>
      <c r="J16" s="26"/>
      <c r="K16" s="26">
        <f>+K15/G15-1</f>
        <v>-4.4247787610619427E-2</v>
      </c>
      <c r="L16" s="26"/>
      <c r="M16" s="26"/>
      <c r="N16" s="26"/>
      <c r="O16" s="26">
        <f>+O15/N15-1</f>
        <v>3.8072289156626526E-2</v>
      </c>
    </row>
    <row r="17" spans="1:15" s="3" customFormat="1" x14ac:dyDescent="0.2">
      <c r="B17" s="26" t="s">
        <v>108</v>
      </c>
      <c r="C17" s="26"/>
      <c r="D17" s="26"/>
      <c r="E17" s="26"/>
      <c r="F17" s="26"/>
      <c r="G17" s="26">
        <f>+G15/$G$35</f>
        <v>8.4240345907261066E-2</v>
      </c>
      <c r="H17" s="26"/>
      <c r="I17" s="26"/>
      <c r="J17" s="26"/>
      <c r="K17" s="26">
        <f>+K15/$K$35</f>
        <v>7.5355847055540048E-2</v>
      </c>
      <c r="L17" s="26"/>
      <c r="M17" s="26"/>
      <c r="N17" s="26">
        <f ca="1">+N15/$N$35</f>
        <v>7.8249060617791188E-2</v>
      </c>
      <c r="O17" s="26">
        <f ca="1">+O15/$O$35</f>
        <v>7.925827175868555E-2</v>
      </c>
    </row>
    <row r="18" spans="1:15" s="3" customFormat="1" x14ac:dyDescent="0.2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s="27" customFormat="1" x14ac:dyDescent="0.2">
      <c r="A19" s="1"/>
      <c r="B19" s="28" t="s">
        <v>116</v>
      </c>
      <c r="C19" s="28"/>
      <c r="D19" s="28"/>
      <c r="E19" s="28"/>
      <c r="F19" s="28"/>
      <c r="G19" s="28">
        <v>186</v>
      </c>
      <c r="H19" s="28"/>
      <c r="I19" s="28"/>
      <c r="J19" s="28"/>
      <c r="K19" s="28">
        <v>286</v>
      </c>
      <c r="L19" s="28"/>
      <c r="M19" s="28"/>
      <c r="N19" s="28">
        <v>758</v>
      </c>
      <c r="O19" s="28">
        <v>1141</v>
      </c>
    </row>
    <row r="20" spans="1:15" s="3" customFormat="1" x14ac:dyDescent="0.2">
      <c r="B20" s="26" t="s">
        <v>109</v>
      </c>
      <c r="C20" s="26"/>
      <c r="D20" s="26"/>
      <c r="E20" s="26"/>
      <c r="F20" s="26"/>
      <c r="G20" s="26" t="e">
        <f>+G19/C19-1</f>
        <v>#DIV/0!</v>
      </c>
      <c r="H20" s="26"/>
      <c r="I20" s="26"/>
      <c r="J20" s="26"/>
      <c r="K20" s="26">
        <f>+K19/G19-1</f>
        <v>0.5376344086021505</v>
      </c>
      <c r="L20" s="26"/>
      <c r="M20" s="26"/>
      <c r="N20" s="26"/>
      <c r="O20" s="26">
        <f>+O19/N19-1</f>
        <v>0.50527704485488134</v>
      </c>
    </row>
    <row r="21" spans="1:15" s="3" customFormat="1" x14ac:dyDescent="0.2">
      <c r="B21" s="26" t="s">
        <v>108</v>
      </c>
      <c r="C21" s="26"/>
      <c r="D21" s="26"/>
      <c r="E21" s="26"/>
      <c r="F21" s="26"/>
      <c r="G21" s="26">
        <f>+G19/$G$35</f>
        <v>2.773222006858506E-2</v>
      </c>
      <c r="H21" s="26"/>
      <c r="I21" s="26"/>
      <c r="J21" s="26"/>
      <c r="K21" s="26">
        <f>+K19/$K$35</f>
        <v>3.9910689366452694E-2</v>
      </c>
      <c r="L21" s="26"/>
      <c r="M21" s="26"/>
      <c r="N21" s="26">
        <f ca="1">+N19/$N$35</f>
        <v>2.8584476119655765E-2</v>
      </c>
      <c r="O21" s="26">
        <f ca="1">+O19/$O$35</f>
        <v>4.1984070601977813E-2</v>
      </c>
    </row>
    <row r="22" spans="1:15" s="3" customFormat="1" x14ac:dyDescent="0.2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spans="1:15" s="49" customFormat="1" x14ac:dyDescent="0.2">
      <c r="A23" s="6"/>
      <c r="B23" s="46" t="s">
        <v>117</v>
      </c>
      <c r="C23" s="47"/>
      <c r="D23" s="47"/>
      <c r="E23" s="47"/>
      <c r="F23" s="47"/>
      <c r="G23" s="47">
        <f>+SUM(G19,G15,G11,G7,G3)</f>
        <v>5538</v>
      </c>
      <c r="H23" s="47"/>
      <c r="I23" s="47"/>
      <c r="J23" s="47"/>
      <c r="K23" s="47">
        <f>+SUM(K19,K15,K11,K7,K3)</f>
        <v>5919</v>
      </c>
      <c r="L23" s="47"/>
      <c r="M23" s="47"/>
      <c r="N23" s="47">
        <f ca="1">+SUM(N3:N19)</f>
        <v>20359.73916136731</v>
      </c>
      <c r="O23" s="47">
        <f ca="1">+SUM(O3:O19)</f>
        <v>21915.880558214842</v>
      </c>
    </row>
    <row r="24" spans="1:15" s="3" customFormat="1" x14ac:dyDescent="0.2">
      <c r="B24" s="26" t="s">
        <v>109</v>
      </c>
      <c r="C24" s="26"/>
      <c r="D24" s="26"/>
      <c r="E24" s="26"/>
      <c r="F24" s="26"/>
      <c r="G24" s="26" t="e">
        <f>+G23/C23-1</f>
        <v>#DIV/0!</v>
      </c>
      <c r="H24" s="26"/>
      <c r="I24" s="26"/>
      <c r="J24" s="26"/>
      <c r="K24" s="26">
        <f>+K23/G23-1</f>
        <v>6.8797399783315338E-2</v>
      </c>
      <c r="L24" s="26"/>
      <c r="M24" s="26"/>
      <c r="N24" s="26"/>
      <c r="O24" s="26">
        <f ca="1">+O23/N23-1</f>
        <v>7.643228552752368E-2</v>
      </c>
    </row>
    <row r="25" spans="1:15" s="3" customFormat="1" x14ac:dyDescent="0.2">
      <c r="B25" s="26" t="s">
        <v>108</v>
      </c>
      <c r="C25" s="26"/>
      <c r="D25" s="26"/>
      <c r="E25" s="26"/>
      <c r="F25" s="26"/>
      <c r="G25" s="26">
        <f>+G23/$G$35</f>
        <v>0.82570448784851647</v>
      </c>
      <c r="H25" s="26"/>
      <c r="I25" s="26"/>
      <c r="J25" s="26"/>
      <c r="K25" s="26">
        <f>+K23/$K$35</f>
        <v>0.8259838124476695</v>
      </c>
      <c r="L25" s="26"/>
      <c r="M25" s="26"/>
      <c r="N25" s="26">
        <f ca="1">+N23/$N$35</f>
        <v>0.76777371749409529</v>
      </c>
      <c r="O25" s="26">
        <f ca="1">+O23/$O$35</f>
        <v>0.80641356411972376</v>
      </c>
    </row>
    <row r="26" spans="1:15" s="3" customFormat="1" x14ac:dyDescent="0.2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spans="1:15" s="27" customFormat="1" x14ac:dyDescent="0.2">
      <c r="A27" s="1"/>
      <c r="B27" s="28" t="s">
        <v>118</v>
      </c>
      <c r="C27" s="28"/>
      <c r="D27" s="28"/>
      <c r="E27" s="28"/>
      <c r="F27" s="28"/>
      <c r="G27" s="28">
        <v>759</v>
      </c>
      <c r="H27" s="28"/>
      <c r="I27" s="28"/>
      <c r="J27" s="28"/>
      <c r="K27" s="28">
        <v>917</v>
      </c>
      <c r="L27" s="28"/>
      <c r="M27" s="28"/>
      <c r="N27" s="28">
        <v>4006</v>
      </c>
      <c r="O27" s="28">
        <v>3818</v>
      </c>
    </row>
    <row r="28" spans="1:15" s="3" customFormat="1" x14ac:dyDescent="0.2">
      <c r="B28" s="26" t="s">
        <v>109</v>
      </c>
      <c r="C28" s="26"/>
      <c r="D28" s="26"/>
      <c r="E28" s="26"/>
      <c r="F28" s="26"/>
      <c r="G28" s="26" t="e">
        <f>+G27/C27-1</f>
        <v>#DIV/0!</v>
      </c>
      <c r="H28" s="26"/>
      <c r="I28" s="26"/>
      <c r="J28" s="26"/>
      <c r="K28" s="26">
        <f>+K27/G27-1</f>
        <v>0.2081686429512517</v>
      </c>
      <c r="L28" s="26"/>
      <c r="M28" s="26"/>
      <c r="N28" s="26"/>
      <c r="O28" s="26">
        <f>+O27/N27-1</f>
        <v>-4.6929605591612633E-2</v>
      </c>
    </row>
    <row r="29" spans="1:15" s="3" customFormat="1" x14ac:dyDescent="0.2">
      <c r="B29" s="26" t="s">
        <v>108</v>
      </c>
      <c r="C29" s="26"/>
      <c r="D29" s="26"/>
      <c r="E29" s="26"/>
      <c r="F29" s="26"/>
      <c r="G29" s="26">
        <f>+G27/$G$35</f>
        <v>0.11316534963471001</v>
      </c>
      <c r="H29" s="26"/>
      <c r="I29" s="26"/>
      <c r="J29" s="26"/>
      <c r="K29" s="26">
        <f>+K27/$K$35</f>
        <v>0.12796539212950042</v>
      </c>
      <c r="L29" s="26"/>
      <c r="M29" s="26"/>
      <c r="N29" s="26">
        <f ca="1">+N27/$N$35</f>
        <v>0.15106782498066096</v>
      </c>
      <c r="O29" s="26">
        <f ca="1">+O27/$O$35</f>
        <v>0.14048657454719657</v>
      </c>
    </row>
    <row r="30" spans="1:15" s="3" customFormat="1" x14ac:dyDescent="0.2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spans="1:15" s="28" customFormat="1" x14ac:dyDescent="0.2">
      <c r="A31" s="25"/>
      <c r="B31" s="28" t="s">
        <v>119</v>
      </c>
      <c r="G31" s="28">
        <v>410</v>
      </c>
      <c r="K31" s="28">
        <v>330</v>
      </c>
      <c r="N31" s="28">
        <v>2152</v>
      </c>
      <c r="O31" s="28">
        <v>1443</v>
      </c>
    </row>
    <row r="32" spans="1:15" s="26" customFormat="1" x14ac:dyDescent="0.2">
      <c r="B32" s="26" t="s">
        <v>109</v>
      </c>
      <c r="G32" s="26" t="e">
        <f>+G31/C31-1</f>
        <v>#DIV/0!</v>
      </c>
      <c r="K32" s="26">
        <f>+K31/G31-1</f>
        <v>-0.19512195121951215</v>
      </c>
      <c r="O32" s="26">
        <f>+O31/N31-1</f>
        <v>-0.32946096654275092</v>
      </c>
    </row>
    <row r="33" spans="1:15" s="26" customFormat="1" x14ac:dyDescent="0.2">
      <c r="B33" s="26" t="s">
        <v>108</v>
      </c>
      <c r="G33" s="26">
        <f>+G31/$G$35</f>
        <v>6.1130162516773522E-2</v>
      </c>
      <c r="K33" s="26">
        <f>+K31/$K$35</f>
        <v>4.6050795422830033E-2</v>
      </c>
      <c r="N33" s="26">
        <f ca="1">+N31/$N$35</f>
        <v>8.1152760698547766E-2</v>
      </c>
      <c r="O33" s="26">
        <f ca="1">+O31/$O$35</f>
        <v>5.3096418824411906E-2</v>
      </c>
    </row>
    <row r="34" spans="1:15" s="26" customFormat="1" x14ac:dyDescent="0.2"/>
    <row r="35" spans="1:15" s="49" customFormat="1" x14ac:dyDescent="0.2">
      <c r="A35" s="6"/>
      <c r="B35" s="46" t="s">
        <v>104</v>
      </c>
      <c r="C35" s="47"/>
      <c r="D35" s="47"/>
      <c r="E35" s="47"/>
      <c r="F35" s="47"/>
      <c r="G35" s="47">
        <f>+SUM(G31,G27,G23)</f>
        <v>6707</v>
      </c>
      <c r="H35" s="47"/>
      <c r="I35" s="47"/>
      <c r="J35" s="47"/>
      <c r="K35" s="47">
        <f>+SUM(K31,K27,K23)</f>
        <v>7166</v>
      </c>
      <c r="L35" s="47"/>
      <c r="M35" s="47"/>
      <c r="N35" s="47">
        <f ca="1">+N23+SUM(N27:N31)</f>
        <v>26517.89022919229</v>
      </c>
      <c r="O35" s="47">
        <f ca="1">+O23+SUM(O27:O31)</f>
        <v>27176.974115183795</v>
      </c>
    </row>
    <row r="36" spans="1:15" s="3" customFormat="1" x14ac:dyDescent="0.2">
      <c r="B36" s="26" t="s">
        <v>109</v>
      </c>
      <c r="C36" s="26"/>
      <c r="D36" s="26"/>
      <c r="E36" s="26"/>
      <c r="F36" s="26"/>
      <c r="G36" s="26"/>
      <c r="H36" s="26"/>
      <c r="I36" s="26"/>
      <c r="J36" s="26"/>
      <c r="K36" s="26">
        <f>+K35/G35-1</f>
        <v>6.8435962427314756E-2</v>
      </c>
      <c r="L36" s="26"/>
      <c r="M36" s="26"/>
      <c r="N36" s="26"/>
      <c r="O36" s="26">
        <f ca="1">+O35/N35-1</f>
        <v>2.4854310817907788E-2</v>
      </c>
    </row>
    <row r="37" spans="1:15" s="3" customFormat="1" x14ac:dyDescent="0.2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spans="1:15" s="3" customFormat="1" x14ac:dyDescent="0.2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spans="1:15" x14ac:dyDescent="0.2">
      <c r="B39" s="1"/>
    </row>
    <row r="40" spans="1:15" x14ac:dyDescent="0.2">
      <c r="B40" s="6" t="s">
        <v>127</v>
      </c>
    </row>
    <row r="41" spans="1:15" s="27" customFormat="1" x14ac:dyDescent="0.2">
      <c r="A41" s="52"/>
      <c r="B41" s="27" t="s">
        <v>105</v>
      </c>
      <c r="K41" s="27">
        <f>+K35*K43</f>
        <v>1074.8999999999999</v>
      </c>
    </row>
    <row r="42" spans="1:15" x14ac:dyDescent="0.2">
      <c r="B42" t="s">
        <v>109</v>
      </c>
    </row>
    <row r="43" spans="1:15" x14ac:dyDescent="0.2">
      <c r="B43" s="1" t="s">
        <v>108</v>
      </c>
      <c r="K43" s="3">
        <v>0.15</v>
      </c>
    </row>
    <row r="45" spans="1:15" s="27" customFormat="1" x14ac:dyDescent="0.2">
      <c r="A45" s="52"/>
      <c r="B45" s="27" t="s">
        <v>106</v>
      </c>
      <c r="K45" s="27">
        <f>+K35*K47</f>
        <v>1218.22</v>
      </c>
    </row>
    <row r="46" spans="1:15" x14ac:dyDescent="0.2">
      <c r="B46" s="1" t="s">
        <v>109</v>
      </c>
    </row>
    <row r="47" spans="1:15" x14ac:dyDescent="0.2">
      <c r="B47" s="25" t="s">
        <v>108</v>
      </c>
      <c r="K47" s="3">
        <v>0.17</v>
      </c>
    </row>
  </sheetData>
  <hyperlinks>
    <hyperlink ref="A1" location="Main!A1" display="Main" xr:uid="{0F5D7D3D-AC5B-4B6A-B263-A64197D6AD6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Segment</vt:lpstr>
      <vt:lpstr>Geographic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2024-07-18T17:22:31Z</dcterms:created>
  <dcterms:modified xsi:type="dcterms:W3CDTF">2025-04-21T10:56:50Z</dcterms:modified>
</cp:coreProperties>
</file>