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Hardware\Semiconductors\"/>
    </mc:Choice>
  </mc:AlternateContent>
  <xr:revisionPtr revIDLastSave="0" documentId="13_ncr:1_{1F3B68CB-6C68-4487-BF27-490467484397}" xr6:coauthVersionLast="47" xr6:coauthVersionMax="47" xr10:uidLastSave="{00000000-0000-0000-0000-000000000000}"/>
  <bookViews>
    <workbookView xWindow="14475" yWindow="60" windowWidth="14235" windowHeight="15495" activeTab="1" xr2:uid="{96FECE5F-8FA1-4F7E-B3DD-9F40FCF61748}"/>
  </bookViews>
  <sheets>
    <sheet name="Main" sheetId="1" r:id="rId1"/>
    <sheet name="Model" sheetId="2" r:id="rId2"/>
    <sheet name="Geography" sheetId="5" r:id="rId3"/>
    <sheet name="Rayleigh criterion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5" l="1"/>
  <c r="W17" i="5"/>
  <c r="W16" i="5"/>
  <c r="W15" i="5"/>
  <c r="W14" i="5"/>
  <c r="W13" i="5"/>
  <c r="W12" i="5"/>
  <c r="W40" i="2"/>
  <c r="W39" i="2"/>
  <c r="V40" i="2"/>
  <c r="W16" i="2"/>
  <c r="W20" i="2"/>
  <c r="W19" i="2"/>
  <c r="W18" i="2"/>
  <c r="W17" i="2"/>
  <c r="W29" i="2"/>
  <c r="W34" i="2"/>
  <c r="W33" i="2"/>
  <c r="W32" i="2"/>
  <c r="W31" i="2"/>
  <c r="W30" i="2"/>
  <c r="V29" i="2"/>
  <c r="V16" i="2"/>
  <c r="W14" i="2"/>
  <c r="X51" i="2"/>
  <c r="W130" i="2"/>
  <c r="W129" i="2"/>
  <c r="L6" i="1"/>
  <c r="L5" i="1"/>
  <c r="W127" i="2"/>
  <c r="E127" i="2"/>
  <c r="F127" i="2"/>
  <c r="G127" i="2" s="1"/>
  <c r="H127" i="2" s="1"/>
  <c r="I127" i="2" s="1"/>
  <c r="J127" i="2" s="1"/>
  <c r="K127" i="2" s="1"/>
  <c r="L127" i="2" s="1"/>
  <c r="M127" i="2" s="1"/>
  <c r="N127" i="2" s="1"/>
  <c r="O127" i="2" s="1"/>
  <c r="P127" i="2" s="1"/>
  <c r="Q127" i="2" s="1"/>
  <c r="R127" i="2" s="1"/>
  <c r="S127" i="2" s="1"/>
  <c r="T127" i="2" s="1"/>
  <c r="U127" i="2" s="1"/>
  <c r="V127" i="2" s="1"/>
  <c r="D127" i="2"/>
  <c r="W126" i="2"/>
  <c r="W123" i="2"/>
  <c r="W116" i="2"/>
  <c r="W107" i="2"/>
  <c r="W97" i="2"/>
  <c r="W75" i="2"/>
  <c r="W71" i="2"/>
  <c r="W82" i="2" s="1"/>
  <c r="W77" i="2"/>
  <c r="W93" i="2" s="1"/>
  <c r="W92" i="2"/>
  <c r="W94" i="2" s="1"/>
  <c r="W79" i="2"/>
  <c r="W69" i="2"/>
  <c r="W88" i="2"/>
  <c r="W90" i="2" s="1"/>
  <c r="V67" i="2"/>
  <c r="U67" i="2"/>
  <c r="W65" i="2"/>
  <c r="W60" i="2"/>
  <c r="W51" i="2"/>
  <c r="W44" i="2"/>
  <c r="G14" i="5"/>
  <c r="G12" i="5"/>
  <c r="G18" i="5"/>
  <c r="G17" i="5"/>
  <c r="G16" i="5"/>
  <c r="G15" i="5"/>
  <c r="G13" i="5"/>
  <c r="H18" i="5"/>
  <c r="H17" i="5"/>
  <c r="H16" i="5"/>
  <c r="H15" i="5"/>
  <c r="H14" i="5"/>
  <c r="H13" i="5"/>
  <c r="H12" i="5"/>
  <c r="I18" i="5"/>
  <c r="I17" i="5"/>
  <c r="I16" i="5"/>
  <c r="I15" i="5"/>
  <c r="I14" i="5"/>
  <c r="I13" i="5"/>
  <c r="I12" i="5"/>
  <c r="J18" i="5"/>
  <c r="J17" i="5"/>
  <c r="J16" i="5"/>
  <c r="J15" i="5"/>
  <c r="J14" i="5"/>
  <c r="J13" i="5"/>
  <c r="J12" i="5"/>
  <c r="K18" i="5"/>
  <c r="K17" i="5"/>
  <c r="K16" i="5"/>
  <c r="K15" i="5"/>
  <c r="K14" i="5"/>
  <c r="K13" i="5"/>
  <c r="K12" i="5"/>
  <c r="L18" i="5"/>
  <c r="L17" i="5"/>
  <c r="L16" i="5"/>
  <c r="L15" i="5"/>
  <c r="L14" i="5"/>
  <c r="L13" i="5"/>
  <c r="L12" i="5"/>
  <c r="M18" i="5"/>
  <c r="M17" i="5"/>
  <c r="M16" i="5"/>
  <c r="M15" i="5"/>
  <c r="M14" i="5"/>
  <c r="M13" i="5"/>
  <c r="M12" i="5"/>
  <c r="N18" i="5"/>
  <c r="N17" i="5"/>
  <c r="N16" i="5"/>
  <c r="N15" i="5"/>
  <c r="N14" i="5"/>
  <c r="N13" i="5"/>
  <c r="N12" i="5"/>
  <c r="O18" i="5"/>
  <c r="O17" i="5"/>
  <c r="O16" i="5"/>
  <c r="O15" i="5"/>
  <c r="O14" i="5"/>
  <c r="O13" i="5"/>
  <c r="O12" i="5"/>
  <c r="P18" i="5"/>
  <c r="P17" i="5"/>
  <c r="P16" i="5"/>
  <c r="P15" i="5"/>
  <c r="P14" i="5"/>
  <c r="P13" i="5"/>
  <c r="P12" i="5"/>
  <c r="Q18" i="5"/>
  <c r="Q17" i="5"/>
  <c r="Q16" i="5"/>
  <c r="Q15" i="5"/>
  <c r="Q14" i="5"/>
  <c r="Q13" i="5"/>
  <c r="Q12" i="5"/>
  <c r="R18" i="5"/>
  <c r="R17" i="5"/>
  <c r="R16" i="5"/>
  <c r="R15" i="5"/>
  <c r="R14" i="5"/>
  <c r="R13" i="5"/>
  <c r="R12" i="5"/>
  <c r="S18" i="5"/>
  <c r="S17" i="5"/>
  <c r="S16" i="5"/>
  <c r="S15" i="5"/>
  <c r="S14" i="5"/>
  <c r="S13" i="5"/>
  <c r="S12" i="5"/>
  <c r="T18" i="5"/>
  <c r="T17" i="5"/>
  <c r="T16" i="5"/>
  <c r="T15" i="5"/>
  <c r="T14" i="5"/>
  <c r="T13" i="5"/>
  <c r="T12" i="5"/>
  <c r="U18" i="5"/>
  <c r="U17" i="5"/>
  <c r="U16" i="5"/>
  <c r="U15" i="5"/>
  <c r="U14" i="5"/>
  <c r="U13" i="5"/>
  <c r="U12" i="5"/>
  <c r="V18" i="5"/>
  <c r="V17" i="5"/>
  <c r="V16" i="5"/>
  <c r="V15" i="5"/>
  <c r="V14" i="5"/>
  <c r="V13" i="5"/>
  <c r="V12" i="5"/>
  <c r="AI20" i="2"/>
  <c r="AI19" i="2"/>
  <c r="AI18" i="2"/>
  <c r="AI17" i="2"/>
  <c r="AI16" i="2"/>
  <c r="AI34" i="2"/>
  <c r="AI33" i="2"/>
  <c r="AI32" i="2"/>
  <c r="AI31" i="2"/>
  <c r="AI30" i="2"/>
  <c r="AI29" i="2"/>
  <c r="AI27" i="2"/>
  <c r="AI26" i="2"/>
  <c r="AI25" i="2"/>
  <c r="AI24" i="2"/>
  <c r="AI23" i="2"/>
  <c r="AI22" i="2"/>
  <c r="AI14" i="2"/>
  <c r="AI13" i="2"/>
  <c r="AI12" i="2"/>
  <c r="AI11" i="2"/>
  <c r="AI10" i="2"/>
  <c r="AI9" i="2"/>
  <c r="M81" i="2"/>
  <c r="M79" i="2"/>
  <c r="M75" i="2"/>
  <c r="M71" i="2"/>
  <c r="M69" i="2"/>
  <c r="M88" i="2"/>
  <c r="M90" i="2" s="1"/>
  <c r="L81" i="2"/>
  <c r="L79" i="2"/>
  <c r="L75" i="2"/>
  <c r="L69" i="2"/>
  <c r="K81" i="2"/>
  <c r="K79" i="2"/>
  <c r="K75" i="2"/>
  <c r="K71" i="2"/>
  <c r="K69" i="2"/>
  <c r="L88" i="2"/>
  <c r="L90" i="2" s="1"/>
  <c r="K88" i="2"/>
  <c r="F14" i="2"/>
  <c r="F34" i="2"/>
  <c r="F33" i="2"/>
  <c r="F20" i="2" s="1"/>
  <c r="F32" i="2"/>
  <c r="F19" i="2" s="1"/>
  <c r="F31" i="2"/>
  <c r="F18" i="2" s="1"/>
  <c r="F30" i="2"/>
  <c r="F17" i="2" s="1"/>
  <c r="F29" i="2"/>
  <c r="F16" i="2" s="1"/>
  <c r="G34" i="2"/>
  <c r="G33" i="2"/>
  <c r="G20" i="2" s="1"/>
  <c r="G32" i="2"/>
  <c r="G19" i="2" s="1"/>
  <c r="G31" i="2"/>
  <c r="G18" i="2" s="1"/>
  <c r="G30" i="2"/>
  <c r="G17" i="2" s="1"/>
  <c r="G29" i="2"/>
  <c r="G16" i="2" s="1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H34" i="2"/>
  <c r="H33" i="2"/>
  <c r="H20" i="2" s="1"/>
  <c r="H32" i="2"/>
  <c r="H19" i="2" s="1"/>
  <c r="H31" i="2"/>
  <c r="H18" i="2" s="1"/>
  <c r="H30" i="2"/>
  <c r="H17" i="2" s="1"/>
  <c r="H29" i="2"/>
  <c r="H16" i="2" s="1"/>
  <c r="I34" i="2"/>
  <c r="I33" i="2"/>
  <c r="I20" i="2" s="1"/>
  <c r="I32" i="2"/>
  <c r="I19" i="2" s="1"/>
  <c r="I31" i="2"/>
  <c r="I18" i="2" s="1"/>
  <c r="I30" i="2"/>
  <c r="I17" i="2" s="1"/>
  <c r="I29" i="2"/>
  <c r="I16" i="2" s="1"/>
  <c r="J34" i="2"/>
  <c r="J33" i="2"/>
  <c r="J20" i="2" s="1"/>
  <c r="J32" i="2"/>
  <c r="J19" i="2" s="1"/>
  <c r="J31" i="2"/>
  <c r="J18" i="2" s="1"/>
  <c r="J30" i="2"/>
  <c r="J17" i="2" s="1"/>
  <c r="J29" i="2"/>
  <c r="J16" i="2" s="1"/>
  <c r="K34" i="2"/>
  <c r="K33" i="2"/>
  <c r="K20" i="2" s="1"/>
  <c r="K32" i="2"/>
  <c r="K19" i="2" s="1"/>
  <c r="K31" i="2"/>
  <c r="K18" i="2" s="1"/>
  <c r="K30" i="2"/>
  <c r="K17" i="2" s="1"/>
  <c r="K29" i="2"/>
  <c r="K16" i="2" s="1"/>
  <c r="L34" i="2"/>
  <c r="L33" i="2"/>
  <c r="L20" i="2" s="1"/>
  <c r="L32" i="2"/>
  <c r="L19" i="2" s="1"/>
  <c r="L31" i="2"/>
  <c r="L18" i="2" s="1"/>
  <c r="L30" i="2"/>
  <c r="L17" i="2" s="1"/>
  <c r="L29" i="2"/>
  <c r="L16" i="2" s="1"/>
  <c r="M34" i="2"/>
  <c r="M33" i="2"/>
  <c r="M20" i="2" s="1"/>
  <c r="M32" i="2"/>
  <c r="M19" i="2" s="1"/>
  <c r="M31" i="2"/>
  <c r="M18" i="2" s="1"/>
  <c r="M30" i="2"/>
  <c r="M17" i="2" s="1"/>
  <c r="M29" i="2"/>
  <c r="M16" i="2" s="1"/>
  <c r="N34" i="2"/>
  <c r="N33" i="2"/>
  <c r="N20" i="2" s="1"/>
  <c r="N32" i="2"/>
  <c r="N19" i="2" s="1"/>
  <c r="N31" i="2"/>
  <c r="N18" i="2" s="1"/>
  <c r="N30" i="2"/>
  <c r="N17" i="2" s="1"/>
  <c r="N29" i="2"/>
  <c r="N16" i="2" s="1"/>
  <c r="O34" i="2"/>
  <c r="O33" i="2"/>
  <c r="O20" i="2" s="1"/>
  <c r="O32" i="2"/>
  <c r="O19" i="2" s="1"/>
  <c r="O31" i="2"/>
  <c r="O18" i="2" s="1"/>
  <c r="O30" i="2"/>
  <c r="O17" i="2" s="1"/>
  <c r="O29" i="2"/>
  <c r="O16" i="2" s="1"/>
  <c r="P29" i="2"/>
  <c r="P16" i="2" s="1"/>
  <c r="P34" i="2"/>
  <c r="P33" i="2"/>
  <c r="P20" i="2" s="1"/>
  <c r="P32" i="2"/>
  <c r="P19" i="2" s="1"/>
  <c r="P31" i="2"/>
  <c r="P18" i="2" s="1"/>
  <c r="P30" i="2"/>
  <c r="P17" i="2" s="1"/>
  <c r="Q29" i="2"/>
  <c r="Q16" i="2" s="1"/>
  <c r="J40" i="2"/>
  <c r="I40" i="2"/>
  <c r="H40" i="2"/>
  <c r="G40" i="2"/>
  <c r="F40" i="2"/>
  <c r="J39" i="2"/>
  <c r="I39" i="2"/>
  <c r="H39" i="2"/>
  <c r="G39" i="2"/>
  <c r="F39" i="2"/>
  <c r="M40" i="2"/>
  <c r="L40" i="2"/>
  <c r="K40" i="2"/>
  <c r="M39" i="2"/>
  <c r="L39" i="2"/>
  <c r="K39" i="2"/>
  <c r="N40" i="2"/>
  <c r="N39" i="2"/>
  <c r="O40" i="2"/>
  <c r="O39" i="2"/>
  <c r="P40" i="2"/>
  <c r="P39" i="2"/>
  <c r="N75" i="2"/>
  <c r="N79" i="2"/>
  <c r="N71" i="2"/>
  <c r="N69" i="2"/>
  <c r="N88" i="2"/>
  <c r="N90" i="2" s="1"/>
  <c r="AJ34" i="2"/>
  <c r="AJ33" i="2"/>
  <c r="AJ20" i="2" s="1"/>
  <c r="AJ32" i="2"/>
  <c r="AJ19" i="2" s="1"/>
  <c r="AJ31" i="2"/>
  <c r="AJ18" i="2" s="1"/>
  <c r="AJ30" i="2"/>
  <c r="AJ17" i="2" s="1"/>
  <c r="AJ29" i="2"/>
  <c r="AJ16" i="2" s="1"/>
  <c r="AK34" i="2"/>
  <c r="AK33" i="2"/>
  <c r="AK20" i="2" s="1"/>
  <c r="AK32" i="2"/>
  <c r="AK19" i="2" s="1"/>
  <c r="AK31" i="2"/>
  <c r="AK18" i="2" s="1"/>
  <c r="AK30" i="2"/>
  <c r="AK17" i="2" s="1"/>
  <c r="AK29" i="2"/>
  <c r="AK16" i="2" s="1"/>
  <c r="AL34" i="2"/>
  <c r="AL33" i="2"/>
  <c r="AL20" i="2" s="1"/>
  <c r="AL32" i="2"/>
  <c r="AL19" i="2" s="1"/>
  <c r="AL31" i="2"/>
  <c r="AL18" i="2" s="1"/>
  <c r="AL30" i="2"/>
  <c r="AL17" i="2" s="1"/>
  <c r="AL29" i="2"/>
  <c r="AL16" i="2" s="1"/>
  <c r="Q34" i="2"/>
  <c r="Q33" i="2"/>
  <c r="Q32" i="2"/>
  <c r="Q31" i="2"/>
  <c r="Q30" i="2"/>
  <c r="Q17" i="2" s="1"/>
  <c r="R34" i="2"/>
  <c r="R33" i="2"/>
  <c r="R32" i="2"/>
  <c r="R31" i="2"/>
  <c r="R30" i="2"/>
  <c r="R29" i="2"/>
  <c r="T34" i="2"/>
  <c r="T33" i="2"/>
  <c r="T32" i="2"/>
  <c r="T31" i="2"/>
  <c r="T30" i="2"/>
  <c r="T29" i="2"/>
  <c r="U29" i="2"/>
  <c r="U34" i="2"/>
  <c r="U33" i="2"/>
  <c r="U32" i="2"/>
  <c r="U31" i="2"/>
  <c r="U30" i="2"/>
  <c r="V34" i="2"/>
  <c r="V33" i="2"/>
  <c r="V32" i="2"/>
  <c r="V31" i="2"/>
  <c r="V30" i="2"/>
  <c r="Q40" i="2"/>
  <c r="Q39" i="2"/>
  <c r="R40" i="2"/>
  <c r="R39" i="2"/>
  <c r="AL37" i="2"/>
  <c r="AK37" i="2"/>
  <c r="AJ37" i="2"/>
  <c r="AI37" i="2"/>
  <c r="AH37" i="2"/>
  <c r="AG37" i="2"/>
  <c r="AJ36" i="2"/>
  <c r="AI36" i="2"/>
  <c r="AH36" i="2"/>
  <c r="AG36" i="2"/>
  <c r="V39" i="2"/>
  <c r="U40" i="2"/>
  <c r="U39" i="2"/>
  <c r="T40" i="2"/>
  <c r="T39" i="2"/>
  <c r="AJ14" i="2"/>
  <c r="AK14" i="2"/>
  <c r="AL14" i="2"/>
  <c r="AL39" i="2"/>
  <c r="BC77" i="2"/>
  <c r="W68" i="2" l="1"/>
  <c r="W67" i="2" s="1"/>
  <c r="W48" i="2"/>
  <c r="W52" i="2" s="1"/>
  <c r="L82" i="2"/>
  <c r="K82" i="2"/>
  <c r="M82" i="2"/>
  <c r="M68" i="2"/>
  <c r="L68" i="2"/>
  <c r="K90" i="2"/>
  <c r="K68" i="2"/>
  <c r="N82" i="2"/>
  <c r="N68" i="2"/>
  <c r="N67" i="2" s="1"/>
  <c r="W61" i="2" l="1"/>
  <c r="W54" i="2"/>
  <c r="AL44" i="2"/>
  <c r="V44" i="2"/>
  <c r="AC3" i="5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V18" i="2" l="1"/>
  <c r="V20" i="2"/>
  <c r="V17" i="2"/>
  <c r="V19" i="2"/>
  <c r="S43" i="2"/>
  <c r="S42" i="2"/>
  <c r="AL51" i="2"/>
  <c r="V123" i="2"/>
  <c r="V116" i="2"/>
  <c r="V107" i="2"/>
  <c r="V129" i="2" s="1"/>
  <c r="V69" i="2"/>
  <c r="V75" i="2"/>
  <c r="V79" i="2"/>
  <c r="V71" i="2"/>
  <c r="V88" i="2"/>
  <c r="V90" i="2" s="1"/>
  <c r="R44" i="2"/>
  <c r="V51" i="2"/>
  <c r="S30" i="2" l="1"/>
  <c r="S34" i="2"/>
  <c r="S33" i="2"/>
  <c r="S32" i="2"/>
  <c r="S29" i="2"/>
  <c r="S31" i="2"/>
  <c r="S39" i="2"/>
  <c r="S40" i="2"/>
  <c r="V68" i="2"/>
  <c r="V65" i="2"/>
  <c r="V48" i="2"/>
  <c r="V60" i="2" s="1"/>
  <c r="V126" i="2"/>
  <c r="V82" i="2"/>
  <c r="AM47" i="2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AM49" i="2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AM50" i="2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AM44" i="2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W65" i="2" s="1"/>
  <c r="V52" i="2" l="1"/>
  <c r="AX44" i="2"/>
  <c r="AW51" i="2"/>
  <c r="W63" i="2" l="1"/>
  <c r="V61" i="2"/>
  <c r="V54" i="2"/>
  <c r="V63" i="2" s="1"/>
  <c r="AY44" i="2"/>
  <c r="AX51" i="2"/>
  <c r="AX65" i="2"/>
  <c r="W56" i="2" l="1"/>
  <c r="W62" i="2" s="1"/>
  <c r="V56" i="2"/>
  <c r="V97" i="2" s="1"/>
  <c r="AY51" i="2"/>
  <c r="AZ44" i="2"/>
  <c r="AY65" i="2"/>
  <c r="W57" i="2" l="1"/>
  <c r="V57" i="2"/>
  <c r="V62" i="2"/>
  <c r="AZ51" i="2"/>
  <c r="BA44" i="2"/>
  <c r="AZ65" i="2"/>
  <c r="BA65" i="2" l="1"/>
  <c r="BA51" i="2"/>
  <c r="U123" i="2" l="1"/>
  <c r="U116" i="2"/>
  <c r="U107" i="2"/>
  <c r="U129" i="2" s="1"/>
  <c r="U79" i="2"/>
  <c r="U71" i="2"/>
  <c r="U75" i="2"/>
  <c r="U69" i="2"/>
  <c r="U68" i="2" s="1"/>
  <c r="U88" i="2"/>
  <c r="U51" i="2"/>
  <c r="U44" i="2"/>
  <c r="U65" i="2" l="1"/>
  <c r="U17" i="2"/>
  <c r="U18" i="2"/>
  <c r="U20" i="2"/>
  <c r="U19" i="2"/>
  <c r="U16" i="2"/>
  <c r="AM65" i="2"/>
  <c r="U126" i="2"/>
  <c r="U82" i="2"/>
  <c r="U89" i="2" s="1"/>
  <c r="U48" i="2"/>
  <c r="U60" i="2" s="1"/>
  <c r="U90" i="2" l="1"/>
  <c r="U52" i="2"/>
  <c r="Q20" i="2"/>
  <c r="Q19" i="2"/>
  <c r="Q18" i="2"/>
  <c r="R20" i="2"/>
  <c r="R19" i="2"/>
  <c r="R18" i="2"/>
  <c r="R17" i="2"/>
  <c r="R16" i="2"/>
  <c r="S20" i="2"/>
  <c r="S19" i="2"/>
  <c r="S18" i="2"/>
  <c r="S17" i="2"/>
  <c r="S16" i="2"/>
  <c r="AK44" i="2"/>
  <c r="AL65" i="2" s="1"/>
  <c r="AK51" i="2"/>
  <c r="AJ51" i="2"/>
  <c r="AI51" i="2"/>
  <c r="AH51" i="2"/>
  <c r="AG51" i="2"/>
  <c r="AF51" i="2"/>
  <c r="AE51" i="2"/>
  <c r="AD51" i="2"/>
  <c r="AC51" i="2"/>
  <c r="AB51" i="2"/>
  <c r="T123" i="2"/>
  <c r="T116" i="2"/>
  <c r="T107" i="2"/>
  <c r="T129" i="2" s="1"/>
  <c r="T69" i="2"/>
  <c r="T75" i="2"/>
  <c r="T79" i="2"/>
  <c r="T71" i="2"/>
  <c r="T88" i="2"/>
  <c r="R51" i="2"/>
  <c r="Q51" i="2"/>
  <c r="P51" i="2"/>
  <c r="O51" i="2"/>
  <c r="N51" i="2"/>
  <c r="M51" i="2"/>
  <c r="L51" i="2"/>
  <c r="K51" i="2"/>
  <c r="J51" i="2"/>
  <c r="S51" i="2"/>
  <c r="T51" i="2"/>
  <c r="T44" i="2"/>
  <c r="T16" i="2" s="1"/>
  <c r="AG47" i="2"/>
  <c r="AG44" i="2"/>
  <c r="AH47" i="2"/>
  <c r="AH44" i="2"/>
  <c r="AD47" i="2"/>
  <c r="AD44" i="2"/>
  <c r="AE47" i="2"/>
  <c r="AE44" i="2"/>
  <c r="AF47" i="2"/>
  <c r="AF44" i="2"/>
  <c r="AB47" i="2"/>
  <c r="AB44" i="2"/>
  <c r="AC47" i="2"/>
  <c r="AC44" i="2"/>
  <c r="AK47" i="2"/>
  <c r="AJ47" i="2"/>
  <c r="AI47" i="2"/>
  <c r="AJ44" i="2"/>
  <c r="AI44" i="2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S123" i="2"/>
  <c r="S116" i="2"/>
  <c r="S107" i="2"/>
  <c r="R123" i="2"/>
  <c r="R116" i="2"/>
  <c r="R107" i="2"/>
  <c r="N123" i="2"/>
  <c r="N116" i="2"/>
  <c r="N107" i="2"/>
  <c r="Q123" i="2"/>
  <c r="Q116" i="2"/>
  <c r="Q107" i="2"/>
  <c r="M123" i="2"/>
  <c r="M116" i="2"/>
  <c r="M107" i="2"/>
  <c r="L123" i="2"/>
  <c r="L116" i="2"/>
  <c r="L107" i="2"/>
  <c r="P123" i="2"/>
  <c r="P116" i="2"/>
  <c r="P107" i="2"/>
  <c r="O123" i="2"/>
  <c r="O116" i="2"/>
  <c r="O107" i="2"/>
  <c r="K123" i="2"/>
  <c r="K116" i="2"/>
  <c r="K107" i="2"/>
  <c r="K129" i="2" s="1"/>
  <c r="J123" i="2"/>
  <c r="J116" i="2"/>
  <c r="J107" i="2"/>
  <c r="I116" i="2"/>
  <c r="H116" i="2"/>
  <c r="F116" i="2"/>
  <c r="E116" i="2"/>
  <c r="D116" i="2"/>
  <c r="C116" i="2"/>
  <c r="F107" i="2"/>
  <c r="F123" i="2"/>
  <c r="I123" i="2"/>
  <c r="I107" i="2"/>
  <c r="E123" i="2"/>
  <c r="E107" i="2"/>
  <c r="H123" i="2"/>
  <c r="H107" i="2"/>
  <c r="H129" i="2" s="1"/>
  <c r="C100" i="2"/>
  <c r="C107" i="2" s="1"/>
  <c r="D123" i="2"/>
  <c r="D107" i="2"/>
  <c r="G123" i="2"/>
  <c r="G116" i="2"/>
  <c r="G107" i="2"/>
  <c r="C123" i="2"/>
  <c r="S79" i="2"/>
  <c r="S75" i="2"/>
  <c r="S71" i="2"/>
  <c r="S69" i="2"/>
  <c r="S88" i="2"/>
  <c r="R79" i="2"/>
  <c r="R75" i="2"/>
  <c r="R71" i="2"/>
  <c r="R69" i="2"/>
  <c r="R68" i="2" s="1"/>
  <c r="R67" i="2" s="1"/>
  <c r="R88" i="2"/>
  <c r="Q79" i="2"/>
  <c r="Q75" i="2"/>
  <c r="Q71" i="2"/>
  <c r="Q69" i="2"/>
  <c r="Q88" i="2"/>
  <c r="I83" i="2"/>
  <c r="I88" i="2" s="1"/>
  <c r="H83" i="2"/>
  <c r="H88" i="2" s="1"/>
  <c r="G83" i="2"/>
  <c r="G88" i="2" s="1"/>
  <c r="P79" i="2"/>
  <c r="P75" i="2"/>
  <c r="P71" i="2"/>
  <c r="P69" i="2"/>
  <c r="P68" i="2" s="1"/>
  <c r="P67" i="2" s="1"/>
  <c r="I75" i="2"/>
  <c r="H75" i="2"/>
  <c r="G75" i="2"/>
  <c r="P88" i="2"/>
  <c r="J81" i="2"/>
  <c r="I81" i="2"/>
  <c r="H81" i="2"/>
  <c r="G81" i="2"/>
  <c r="F81" i="2"/>
  <c r="O79" i="2"/>
  <c r="O75" i="2"/>
  <c r="O71" i="2"/>
  <c r="O69" i="2"/>
  <c r="O88" i="2"/>
  <c r="J79" i="2"/>
  <c r="J75" i="2"/>
  <c r="J71" i="2"/>
  <c r="J69" i="2"/>
  <c r="J68" i="2" s="1"/>
  <c r="J88" i="2"/>
  <c r="I79" i="2"/>
  <c r="I71" i="2"/>
  <c r="I69" i="2"/>
  <c r="I68" i="2" s="1"/>
  <c r="H79" i="2"/>
  <c r="H71" i="2"/>
  <c r="H69" i="2"/>
  <c r="F88" i="2"/>
  <c r="G79" i="2"/>
  <c r="G71" i="2"/>
  <c r="F71" i="2"/>
  <c r="G69" i="2"/>
  <c r="F79" i="2"/>
  <c r="F75" i="2"/>
  <c r="F69" i="2"/>
  <c r="F68" i="2" s="1"/>
  <c r="S65" i="2"/>
  <c r="S48" i="2"/>
  <c r="S60" i="2" s="1"/>
  <c r="R65" i="2"/>
  <c r="R48" i="2"/>
  <c r="R60" i="2" s="1"/>
  <c r="N65" i="2"/>
  <c r="N48" i="2"/>
  <c r="Q65" i="2"/>
  <c r="Q48" i="2"/>
  <c r="M65" i="2"/>
  <c r="M48" i="2"/>
  <c r="M60" i="2" s="1"/>
  <c r="P65" i="2"/>
  <c r="P48" i="2"/>
  <c r="P60" i="2" s="1"/>
  <c r="L65" i="2"/>
  <c r="L48" i="2"/>
  <c r="L60" i="2" s="1"/>
  <c r="O65" i="2"/>
  <c r="O48" i="2"/>
  <c r="O60" i="2" s="1"/>
  <c r="K65" i="2"/>
  <c r="K48" i="2"/>
  <c r="K60" i="2" s="1"/>
  <c r="I65" i="2"/>
  <c r="H65" i="2"/>
  <c r="G65" i="2"/>
  <c r="J65" i="2"/>
  <c r="J48" i="2"/>
  <c r="J60" i="2" s="1"/>
  <c r="F51" i="2"/>
  <c r="F48" i="2"/>
  <c r="F60" i="2" s="1"/>
  <c r="I51" i="2"/>
  <c r="I48" i="2"/>
  <c r="E51" i="2"/>
  <c r="E48" i="2"/>
  <c r="E60" i="2" s="1"/>
  <c r="H51" i="2"/>
  <c r="H48" i="2"/>
  <c r="D51" i="2"/>
  <c r="D48" i="2"/>
  <c r="D60" i="2" s="1"/>
  <c r="G51" i="2"/>
  <c r="G48" i="2"/>
  <c r="G60" i="2" s="1"/>
  <c r="C51" i="2"/>
  <c r="C48" i="2"/>
  <c r="C60" i="2" s="1"/>
  <c r="T48" i="2" l="1"/>
  <c r="T60" i="2" s="1"/>
  <c r="U61" i="2"/>
  <c r="AW48" i="2"/>
  <c r="U54" i="2"/>
  <c r="U56" i="2" s="1"/>
  <c r="U97" i="2" s="1"/>
  <c r="AL48" i="2"/>
  <c r="AL60" i="2" s="1"/>
  <c r="L4" i="1"/>
  <c r="L7" i="1" s="1"/>
  <c r="L9" i="1" s="1"/>
  <c r="T17" i="2"/>
  <c r="T18" i="2"/>
  <c r="T19" i="2"/>
  <c r="T20" i="2"/>
  <c r="T126" i="2"/>
  <c r="T65" i="2"/>
  <c r="T82" i="2"/>
  <c r="T89" i="2" s="1"/>
  <c r="T90" i="2" s="1"/>
  <c r="T68" i="2"/>
  <c r="AI65" i="2"/>
  <c r="AF65" i="2"/>
  <c r="AD65" i="2"/>
  <c r="AH65" i="2"/>
  <c r="AK48" i="2"/>
  <c r="AK60" i="2" s="1"/>
  <c r="AC65" i="2"/>
  <c r="AE65" i="2"/>
  <c r="AG48" i="2"/>
  <c r="AG52" i="2" s="1"/>
  <c r="AG65" i="2"/>
  <c r="AH48" i="2"/>
  <c r="AH60" i="2" s="1"/>
  <c r="AD48" i="2"/>
  <c r="AD52" i="2" s="1"/>
  <c r="AE48" i="2"/>
  <c r="AE52" i="2" s="1"/>
  <c r="AF48" i="2"/>
  <c r="AF60" i="2" s="1"/>
  <c r="AB48" i="2"/>
  <c r="AB52" i="2" s="1"/>
  <c r="AC48" i="2"/>
  <c r="AC52" i="2" s="1"/>
  <c r="AJ48" i="2"/>
  <c r="AJ60" i="2" s="1"/>
  <c r="AJ65" i="2"/>
  <c r="AI48" i="2"/>
  <c r="AI60" i="2" s="1"/>
  <c r="AK65" i="2"/>
  <c r="F129" i="2"/>
  <c r="I129" i="2"/>
  <c r="S126" i="2"/>
  <c r="S129" i="2"/>
  <c r="V130" i="2" s="1"/>
  <c r="R126" i="2"/>
  <c r="R129" i="2"/>
  <c r="N126" i="2"/>
  <c r="N129" i="2"/>
  <c r="Q126" i="2"/>
  <c r="Q129" i="2"/>
  <c r="M126" i="2"/>
  <c r="M129" i="2"/>
  <c r="P126" i="2"/>
  <c r="P129" i="2"/>
  <c r="L126" i="2"/>
  <c r="L129" i="2"/>
  <c r="O126" i="2"/>
  <c r="O129" i="2"/>
  <c r="K126" i="2"/>
  <c r="J126" i="2"/>
  <c r="J129" i="2"/>
  <c r="F126" i="2"/>
  <c r="I126" i="2"/>
  <c r="E126" i="2"/>
  <c r="E129" i="2"/>
  <c r="H126" i="2"/>
  <c r="S82" i="2"/>
  <c r="S89" i="2" s="1"/>
  <c r="S90" i="2" s="1"/>
  <c r="C129" i="2"/>
  <c r="C126" i="2"/>
  <c r="G126" i="2"/>
  <c r="G129" i="2"/>
  <c r="D126" i="2"/>
  <c r="D129" i="2"/>
  <c r="S68" i="2"/>
  <c r="S67" i="2" s="1"/>
  <c r="R82" i="2"/>
  <c r="R89" i="2" s="1"/>
  <c r="Q82" i="2"/>
  <c r="Q89" i="2" s="1"/>
  <c r="Q90" i="2" s="1"/>
  <c r="Q68" i="2"/>
  <c r="Q67" i="2" s="1"/>
  <c r="P82" i="2"/>
  <c r="P89" i="2" s="1"/>
  <c r="P90" i="2" s="1"/>
  <c r="I82" i="2"/>
  <c r="I89" i="2" s="1"/>
  <c r="I90" i="2" s="1"/>
  <c r="F82" i="2"/>
  <c r="F89" i="2" s="1"/>
  <c r="F90" i="2" s="1"/>
  <c r="O82" i="2"/>
  <c r="O89" i="2" s="1"/>
  <c r="O90" i="2" s="1"/>
  <c r="O68" i="2"/>
  <c r="O67" i="2" s="1"/>
  <c r="J82" i="2"/>
  <c r="J89" i="2" s="1"/>
  <c r="J90" i="2" s="1"/>
  <c r="H82" i="2"/>
  <c r="H89" i="2" s="1"/>
  <c r="H90" i="2" s="1"/>
  <c r="H68" i="2"/>
  <c r="G82" i="2"/>
  <c r="G89" i="2" s="1"/>
  <c r="G90" i="2" s="1"/>
  <c r="K52" i="2"/>
  <c r="Q52" i="2"/>
  <c r="Q61" i="2" s="1"/>
  <c r="G68" i="2"/>
  <c r="S52" i="2"/>
  <c r="S61" i="2" s="1"/>
  <c r="R52" i="2"/>
  <c r="N52" i="2"/>
  <c r="N61" i="2" s="1"/>
  <c r="N60" i="2"/>
  <c r="Q60" i="2"/>
  <c r="M52" i="2"/>
  <c r="P52" i="2"/>
  <c r="L52" i="2"/>
  <c r="O52" i="2"/>
  <c r="O54" i="2" s="1"/>
  <c r="O56" i="2" s="1"/>
  <c r="J52" i="2"/>
  <c r="J54" i="2" s="1"/>
  <c r="J56" i="2" s="1"/>
  <c r="F52" i="2"/>
  <c r="F54" i="2" s="1"/>
  <c r="F56" i="2" s="1"/>
  <c r="I52" i="2"/>
  <c r="I54" i="2" s="1"/>
  <c r="I56" i="2" s="1"/>
  <c r="I60" i="2"/>
  <c r="E52" i="2"/>
  <c r="E54" i="2" s="1"/>
  <c r="E56" i="2" s="1"/>
  <c r="H52" i="2"/>
  <c r="H60" i="2"/>
  <c r="D52" i="2"/>
  <c r="D54" i="2" s="1"/>
  <c r="D56" i="2" s="1"/>
  <c r="G52" i="2"/>
  <c r="G54" i="2" s="1"/>
  <c r="G56" i="2" s="1"/>
  <c r="C52" i="2"/>
  <c r="C54" i="2" s="1"/>
  <c r="C56" i="2" s="1"/>
  <c r="AK68" i="2" l="1"/>
  <c r="BC74" i="2" s="1"/>
  <c r="T67" i="2"/>
  <c r="T52" i="2"/>
  <c r="T54" i="2" s="1"/>
  <c r="U63" i="2"/>
  <c r="R90" i="2"/>
  <c r="AW60" i="2"/>
  <c r="AW52" i="2"/>
  <c r="AW61" i="2" s="1"/>
  <c r="AX48" i="2"/>
  <c r="U130" i="2"/>
  <c r="F130" i="2"/>
  <c r="R130" i="2"/>
  <c r="P130" i="2"/>
  <c r="I130" i="2"/>
  <c r="H130" i="2"/>
  <c r="O130" i="2"/>
  <c r="G130" i="2"/>
  <c r="S130" i="2"/>
  <c r="L130" i="2"/>
  <c r="T130" i="2"/>
  <c r="M130" i="2"/>
  <c r="Q130" i="2"/>
  <c r="N130" i="2"/>
  <c r="J130" i="2"/>
  <c r="K130" i="2"/>
  <c r="U62" i="2"/>
  <c r="U57" i="2"/>
  <c r="AL52" i="2"/>
  <c r="AL61" i="2" s="1"/>
  <c r="AM48" i="2"/>
  <c r="AM60" i="2" s="1"/>
  <c r="AM51" i="2"/>
  <c r="AG60" i="2"/>
  <c r="AB60" i="2"/>
  <c r="AK52" i="2"/>
  <c r="AD60" i="2"/>
  <c r="AG61" i="2"/>
  <c r="AG54" i="2"/>
  <c r="AG56" i="2" s="1"/>
  <c r="AH52" i="2"/>
  <c r="AH61" i="2" s="1"/>
  <c r="AD61" i="2"/>
  <c r="AD54" i="2"/>
  <c r="AD56" i="2" s="1"/>
  <c r="AE60" i="2"/>
  <c r="AE61" i="2"/>
  <c r="AE54" i="2"/>
  <c r="AE56" i="2" s="1"/>
  <c r="AF52" i="2"/>
  <c r="AF61" i="2" s="1"/>
  <c r="AB61" i="2"/>
  <c r="AB54" i="2"/>
  <c r="AB56" i="2" s="1"/>
  <c r="AC60" i="2"/>
  <c r="AC54" i="2"/>
  <c r="AC56" i="2" s="1"/>
  <c r="AC61" i="2"/>
  <c r="AJ52" i="2"/>
  <c r="AJ61" i="2" s="1"/>
  <c r="AI52" i="2"/>
  <c r="AI54" i="2" s="1"/>
  <c r="AI56" i="2" s="1"/>
  <c r="K61" i="2"/>
  <c r="K54" i="2"/>
  <c r="H61" i="2"/>
  <c r="H54" i="2"/>
  <c r="Q54" i="2"/>
  <c r="S54" i="2"/>
  <c r="R61" i="2"/>
  <c r="R54" i="2"/>
  <c r="R56" i="2" s="1"/>
  <c r="N54" i="2"/>
  <c r="M54" i="2"/>
  <c r="M56" i="2" s="1"/>
  <c r="M61" i="2"/>
  <c r="P61" i="2"/>
  <c r="P54" i="2"/>
  <c r="P56" i="2" s="1"/>
  <c r="L54" i="2"/>
  <c r="L56" i="2" s="1"/>
  <c r="L61" i="2"/>
  <c r="O61" i="2"/>
  <c r="J61" i="2"/>
  <c r="C61" i="2"/>
  <c r="F61" i="2"/>
  <c r="I61" i="2"/>
  <c r="I63" i="2"/>
  <c r="E61" i="2"/>
  <c r="D61" i="2"/>
  <c r="G61" i="2"/>
  <c r="T61" i="2" l="1"/>
  <c r="AK61" i="2"/>
  <c r="AX52" i="2"/>
  <c r="AX61" i="2" s="1"/>
  <c r="AX60" i="2"/>
  <c r="AY48" i="2"/>
  <c r="AN51" i="2"/>
  <c r="AN65" i="2"/>
  <c r="AN48" i="2"/>
  <c r="AM52" i="2"/>
  <c r="AM61" i="2" s="1"/>
  <c r="AL54" i="2"/>
  <c r="AL56" i="2" s="1"/>
  <c r="N63" i="2"/>
  <c r="N56" i="2"/>
  <c r="Q56" i="2"/>
  <c r="S56" i="2"/>
  <c r="H63" i="2"/>
  <c r="H56" i="2"/>
  <c r="K56" i="2"/>
  <c r="T63" i="2"/>
  <c r="T56" i="2"/>
  <c r="AI61" i="2"/>
  <c r="I97" i="2"/>
  <c r="AG63" i="2"/>
  <c r="AH54" i="2"/>
  <c r="AH56" i="2" s="1"/>
  <c r="AD63" i="2"/>
  <c r="AE63" i="2"/>
  <c r="AF54" i="2"/>
  <c r="AB63" i="2"/>
  <c r="AC63" i="2"/>
  <c r="AJ54" i="2"/>
  <c r="AK54" i="2"/>
  <c r="AI63" i="2"/>
  <c r="AI57" i="2"/>
  <c r="Q63" i="2"/>
  <c r="K63" i="2"/>
  <c r="S63" i="2"/>
  <c r="R97" i="2"/>
  <c r="R63" i="2"/>
  <c r="M63" i="2"/>
  <c r="P63" i="2"/>
  <c r="L63" i="2"/>
  <c r="O63" i="2"/>
  <c r="J63" i="2"/>
  <c r="C63" i="2"/>
  <c r="F63" i="2"/>
  <c r="I57" i="2"/>
  <c r="I62" i="2"/>
  <c r="E63" i="2"/>
  <c r="D63" i="2"/>
  <c r="G63" i="2"/>
  <c r="L92" i="2" l="1"/>
  <c r="N92" i="2"/>
  <c r="S62" i="2"/>
  <c r="V92" i="2"/>
  <c r="U92" i="2"/>
  <c r="BA48" i="2"/>
  <c r="AZ48" i="2"/>
  <c r="AY52" i="2"/>
  <c r="AY61" i="2" s="1"/>
  <c r="AY60" i="2"/>
  <c r="Q62" i="2"/>
  <c r="T92" i="2"/>
  <c r="AN52" i="2"/>
  <c r="AN61" i="2" s="1"/>
  <c r="AN60" i="2"/>
  <c r="AL63" i="2"/>
  <c r="AO65" i="2"/>
  <c r="AO48" i="2"/>
  <c r="AO60" i="2" s="1"/>
  <c r="AO51" i="2"/>
  <c r="K92" i="2"/>
  <c r="AJ63" i="2"/>
  <c r="AJ56" i="2"/>
  <c r="AJ57" i="2" s="1"/>
  <c r="AK63" i="2"/>
  <c r="AK56" i="2"/>
  <c r="AF63" i="2"/>
  <c r="AF56" i="2"/>
  <c r="AF62" i="2" s="1"/>
  <c r="K62" i="2"/>
  <c r="K97" i="2"/>
  <c r="K57" i="2"/>
  <c r="Q57" i="2"/>
  <c r="Q97" i="2"/>
  <c r="Q92" i="2"/>
  <c r="T97" i="2"/>
  <c r="T62" i="2"/>
  <c r="T57" i="2"/>
  <c r="S57" i="2"/>
  <c r="S97" i="2"/>
  <c r="F97" i="2"/>
  <c r="I92" i="2"/>
  <c r="M97" i="2"/>
  <c r="P92" i="2"/>
  <c r="J97" i="2"/>
  <c r="M92" i="2"/>
  <c r="G97" i="2"/>
  <c r="J92" i="2"/>
  <c r="O97" i="2"/>
  <c r="R92" i="2"/>
  <c r="C97" i="2"/>
  <c r="F92" i="2"/>
  <c r="D97" i="2"/>
  <c r="G92" i="2"/>
  <c r="E97" i="2"/>
  <c r="H92" i="2"/>
  <c r="L97" i="2"/>
  <c r="O92" i="2"/>
  <c r="P97" i="2"/>
  <c r="S92" i="2"/>
  <c r="AG62" i="2"/>
  <c r="AG57" i="2"/>
  <c r="AH63" i="2"/>
  <c r="AH62" i="2"/>
  <c r="AH57" i="2"/>
  <c r="AD62" i="2"/>
  <c r="AD57" i="2"/>
  <c r="AE62" i="2"/>
  <c r="AE57" i="2"/>
  <c r="AB62" i="2"/>
  <c r="AB57" i="2"/>
  <c r="AC57" i="2"/>
  <c r="AC62" i="2"/>
  <c r="AI62" i="2"/>
  <c r="N57" i="2"/>
  <c r="N97" i="2"/>
  <c r="H57" i="2"/>
  <c r="H97" i="2"/>
  <c r="R57" i="2"/>
  <c r="R62" i="2"/>
  <c r="N62" i="2"/>
  <c r="M57" i="2"/>
  <c r="M62" i="2"/>
  <c r="P62" i="2"/>
  <c r="P57" i="2"/>
  <c r="L57" i="2"/>
  <c r="L62" i="2"/>
  <c r="O57" i="2"/>
  <c r="O62" i="2"/>
  <c r="J57" i="2"/>
  <c r="J62" i="2"/>
  <c r="C57" i="2"/>
  <c r="C62" i="2"/>
  <c r="F57" i="2"/>
  <c r="F62" i="2"/>
  <c r="E57" i="2"/>
  <c r="E62" i="2"/>
  <c r="H62" i="2"/>
  <c r="D57" i="2"/>
  <c r="D62" i="2"/>
  <c r="G57" i="2"/>
  <c r="G62" i="2"/>
  <c r="R93" i="2" l="1"/>
  <c r="R94" i="2"/>
  <c r="S93" i="2"/>
  <c r="S94" i="2"/>
  <c r="J93" i="2"/>
  <c r="J94" i="2"/>
  <c r="K93" i="2"/>
  <c r="K94" i="2"/>
  <c r="O93" i="2"/>
  <c r="O94" i="2"/>
  <c r="U93" i="2"/>
  <c r="U94" i="2"/>
  <c r="Q93" i="2"/>
  <c r="Q94" i="2"/>
  <c r="V93" i="2"/>
  <c r="V94" i="2"/>
  <c r="H93" i="2"/>
  <c r="H94" i="2"/>
  <c r="P93" i="2"/>
  <c r="P94" i="2"/>
  <c r="F93" i="2"/>
  <c r="F94" i="2"/>
  <c r="N93" i="2"/>
  <c r="N94" i="2"/>
  <c r="T93" i="2"/>
  <c r="T94" i="2"/>
  <c r="M93" i="2"/>
  <c r="M94" i="2"/>
  <c r="G93" i="2"/>
  <c r="G94" i="2"/>
  <c r="I93" i="2"/>
  <c r="I94" i="2"/>
  <c r="L93" i="2"/>
  <c r="L94" i="2"/>
  <c r="AZ52" i="2"/>
  <c r="AZ61" i="2" s="1"/>
  <c r="AZ60" i="2"/>
  <c r="BA60" i="2"/>
  <c r="BA52" i="2"/>
  <c r="BA61" i="2" s="1"/>
  <c r="AO52" i="2"/>
  <c r="AO61" i="2" s="1"/>
  <c r="AP65" i="2"/>
  <c r="AP48" i="2"/>
  <c r="AP51" i="2"/>
  <c r="AK62" i="2"/>
  <c r="AF57" i="2"/>
  <c r="AK57" i="2"/>
  <c r="AJ62" i="2"/>
  <c r="AL62" i="2" l="1"/>
  <c r="AL68" i="2"/>
  <c r="AM53" i="2" s="1"/>
  <c r="AL57" i="2"/>
  <c r="AP52" i="2"/>
  <c r="AP61" i="2" s="1"/>
  <c r="AP60" i="2"/>
  <c r="AQ48" i="2"/>
  <c r="AQ51" i="2"/>
  <c r="AQ65" i="2"/>
  <c r="AR48" i="2" l="1"/>
  <c r="AR60" i="2" s="1"/>
  <c r="AR51" i="2"/>
  <c r="AR65" i="2"/>
  <c r="AQ60" i="2"/>
  <c r="AQ52" i="2"/>
  <c r="AQ61" i="2" s="1"/>
  <c r="AM54" i="2" l="1"/>
  <c r="AR52" i="2"/>
  <c r="AR61" i="2" s="1"/>
  <c r="AS48" i="2"/>
  <c r="AS60" i="2" s="1"/>
  <c r="AS51" i="2"/>
  <c r="AS65" i="2"/>
  <c r="AM55" i="2" l="1"/>
  <c r="AM63" i="2" s="1"/>
  <c r="AS52" i="2"/>
  <c r="AS61" i="2" s="1"/>
  <c r="AT51" i="2"/>
  <c r="AT65" i="2"/>
  <c r="AT48" i="2"/>
  <c r="AT60" i="2" s="1"/>
  <c r="AM56" i="2" l="1"/>
  <c r="AT52" i="2"/>
  <c r="AT61" i="2" s="1"/>
  <c r="AU51" i="2"/>
  <c r="AU65" i="2"/>
  <c r="AU48" i="2"/>
  <c r="AU60" i="2" s="1"/>
  <c r="AM62" i="2" l="1"/>
  <c r="AM68" i="2"/>
  <c r="AN53" i="2"/>
  <c r="AM57" i="2"/>
  <c r="AV51" i="2"/>
  <c r="AV65" i="2"/>
  <c r="AV48" i="2"/>
  <c r="AV60" i="2" s="1"/>
  <c r="AU52" i="2"/>
  <c r="AU61" i="2" s="1"/>
  <c r="AN54" i="2" l="1"/>
  <c r="AV52" i="2"/>
  <c r="AV61" i="2" s="1"/>
  <c r="AN55" i="2" l="1"/>
  <c r="AN63" i="2" s="1"/>
  <c r="AN56" i="2" l="1"/>
  <c r="AN57" i="2" l="1"/>
  <c r="AN68" i="2"/>
  <c r="AO53" i="2"/>
  <c r="AN62" i="2"/>
  <c r="AO54" i="2" l="1"/>
  <c r="AO55" i="2" l="1"/>
  <c r="AO63" i="2" s="1"/>
  <c r="AO56" i="2" l="1"/>
  <c r="AO62" i="2" l="1"/>
  <c r="AO57" i="2"/>
  <c r="AO68" i="2"/>
  <c r="AP53" i="2" l="1"/>
  <c r="AP54" i="2" l="1"/>
  <c r="AP55" i="2" l="1"/>
  <c r="AP63" i="2" s="1"/>
  <c r="AP56" i="2" l="1"/>
  <c r="AP57" i="2" s="1"/>
  <c r="AP62" i="2" l="1"/>
  <c r="AP68" i="2"/>
  <c r="AQ53" i="2" s="1"/>
  <c r="AQ54" i="2" l="1"/>
  <c r="AQ55" i="2" l="1"/>
  <c r="AQ63" i="2" s="1"/>
  <c r="AQ56" i="2" l="1"/>
  <c r="AQ57" i="2" s="1"/>
  <c r="AQ68" i="2" l="1"/>
  <c r="AR53" i="2" s="1"/>
  <c r="AQ62" i="2"/>
  <c r="AR54" i="2" l="1"/>
  <c r="AR55" i="2" l="1"/>
  <c r="AR63" i="2" s="1"/>
  <c r="AR56" i="2" l="1"/>
  <c r="AR57" i="2" s="1"/>
  <c r="AR62" i="2" l="1"/>
  <c r="AR68" i="2"/>
  <c r="AS53" i="2" s="1"/>
  <c r="AS54" i="2" l="1"/>
  <c r="AS55" i="2" l="1"/>
  <c r="AS63" i="2" s="1"/>
  <c r="AS56" i="2" l="1"/>
  <c r="AS57" i="2" s="1"/>
  <c r="AS68" i="2" l="1"/>
  <c r="AT53" i="2" s="1"/>
  <c r="AS62" i="2"/>
  <c r="AT54" i="2" l="1"/>
  <c r="AT55" i="2" l="1"/>
  <c r="AT63" i="2" s="1"/>
  <c r="AT56" i="2" l="1"/>
  <c r="AT57" i="2" l="1"/>
  <c r="AT68" i="2"/>
  <c r="AT62" i="2"/>
  <c r="AU53" i="2" l="1"/>
  <c r="AU54" i="2" l="1"/>
  <c r="AU55" i="2" l="1"/>
  <c r="AU63" i="2" s="1"/>
  <c r="AU56" i="2" l="1"/>
  <c r="AU57" i="2" l="1"/>
  <c r="AU62" i="2"/>
  <c r="AU68" i="2"/>
  <c r="AV53" i="2" l="1"/>
  <c r="AV54" i="2" l="1"/>
  <c r="AV55" i="2" l="1"/>
  <c r="AV63" i="2" s="1"/>
  <c r="AV56" i="2" l="1"/>
  <c r="AV57" i="2" s="1"/>
  <c r="AV62" i="2" l="1"/>
  <c r="AV68" i="2"/>
  <c r="AW53" i="2" s="1"/>
  <c r="AW54" i="2" l="1"/>
  <c r="AW55" i="2" l="1"/>
  <c r="AW63" i="2" s="1"/>
  <c r="AW56" i="2" l="1"/>
  <c r="AW68" i="2" s="1"/>
  <c r="AW57" i="2" l="1"/>
  <c r="AW62" i="2"/>
  <c r="AX53" i="2"/>
  <c r="AX54" i="2" l="1"/>
  <c r="AX55" i="2" l="1"/>
  <c r="AX63" i="2" s="1"/>
  <c r="AX56" i="2" l="1"/>
  <c r="AX57" i="2" s="1"/>
  <c r="AX68" i="2" l="1"/>
  <c r="AX62" i="2"/>
  <c r="AY53" i="2" l="1"/>
  <c r="AY54" i="2" s="1"/>
  <c r="AY55" i="2" l="1"/>
  <c r="AY63" i="2" s="1"/>
  <c r="AY56" i="2" l="1"/>
  <c r="AY68" i="2" s="1"/>
  <c r="AY62" i="2" l="1"/>
  <c r="AY57" i="2"/>
  <c r="AZ53" i="2"/>
  <c r="AZ54" i="2" l="1"/>
  <c r="AZ55" i="2" l="1"/>
  <c r="AZ63" i="2" s="1"/>
  <c r="AZ56" i="2" l="1"/>
  <c r="AZ68" i="2" s="1"/>
  <c r="AZ62" i="2" l="1"/>
  <c r="AZ57" i="2"/>
  <c r="BA53" i="2"/>
  <c r="BA54" i="2" l="1"/>
  <c r="BA55" i="2" l="1"/>
  <c r="BA63" i="2" s="1"/>
  <c r="BA56" i="2" l="1"/>
  <c r="BA68" i="2" s="1"/>
  <c r="BB56" i="2" l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X56" i="2" s="1"/>
  <c r="DY56" i="2" s="1"/>
  <c r="DZ56" i="2" s="1"/>
  <c r="EA56" i="2" s="1"/>
  <c r="EB56" i="2" s="1"/>
  <c r="EC56" i="2" s="1"/>
  <c r="ED56" i="2" s="1"/>
  <c r="EE56" i="2" s="1"/>
  <c r="EF56" i="2" s="1"/>
  <c r="EG56" i="2" s="1"/>
  <c r="EH56" i="2" s="1"/>
  <c r="EI56" i="2" s="1"/>
  <c r="EJ56" i="2" s="1"/>
  <c r="EK56" i="2" s="1"/>
  <c r="EL56" i="2" s="1"/>
  <c r="EM56" i="2" s="1"/>
  <c r="EN56" i="2" s="1"/>
  <c r="EO56" i="2" s="1"/>
  <c r="EP56" i="2" s="1"/>
  <c r="EQ56" i="2" s="1"/>
  <c r="ER56" i="2" s="1"/>
  <c r="ES56" i="2" s="1"/>
  <c r="BC73" i="2" s="1"/>
  <c r="BC75" i="2" s="1"/>
  <c r="BC76" i="2" s="1"/>
  <c r="BC78" i="2" s="1"/>
  <c r="BA62" i="2"/>
  <c r="BA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  <author>Fidel</author>
  </authors>
  <commentList>
    <comment ref="V44" authorId="0" shapeId="0" xr:uid="{350214BD-6F76-4A5E-BD7F-FEB619104238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8,8B - 9,2B</t>
        </r>
      </text>
    </comment>
    <comment ref="W44" authorId="0" shapeId="0" xr:uid="{CCC8B846-CEA0-4E69-9ADE-A34C075A130D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€7,5 - €8,0 billion</t>
        </r>
      </text>
    </comment>
    <comment ref="X44" authorId="1" shapeId="0" xr:uid="{C1F1AECB-27F7-4936-AA5A-A681B443136B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€7.2 billion and €7.7 billion</t>
        </r>
      </text>
    </comment>
    <comment ref="AL44" authorId="0" shapeId="0" xr:uid="{4FCDB649-BCB0-4AE8-B9CC-2BEF0E8B7074}">
      <text>
        <r>
          <rPr>
            <b/>
            <sz val="9"/>
            <color indexed="81"/>
            <rFont val="Tahoma"/>
            <family val="2"/>
          </rPr>
          <t xml:space="preserve">Fidel:
</t>
        </r>
        <r>
          <rPr>
            <sz val="9"/>
            <color indexed="81"/>
            <rFont val="Tahoma"/>
            <family val="2"/>
          </rPr>
          <t>Guidance: 28B</t>
        </r>
      </text>
    </comment>
    <comment ref="AM44" authorId="0" shapeId="0" xr:uid="{0638B6D2-D271-4425-AC27-83A7BE066602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€30 - €35 billion</t>
        </r>
      </text>
    </comment>
    <comment ref="AR44" authorId="0" shapeId="0" xr:uid="{A7A11E73-EB31-4960-8636-6A8832363740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Outlook:
€44 - €60</t>
        </r>
      </text>
    </comment>
    <comment ref="W49" authorId="0" shapeId="0" xr:uid="{5B5EF596-00D6-4B9B-BE93-29E30167E51B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around €1.140 billion</t>
        </r>
      </text>
    </comment>
    <comment ref="X49" authorId="1" shapeId="0" xr:uid="{FDD77703-B10D-427C-B746-2027C3B26A22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€1.2 billion</t>
        </r>
      </text>
    </comment>
    <comment ref="W50" authorId="0" shapeId="0" xr:uid="{41EEECB7-1D80-43DB-A3B4-12EA0272CB21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€290</t>
        </r>
      </text>
    </comment>
    <comment ref="X50" authorId="1" shapeId="0" xr:uid="{A7A70323-9EC5-4580-8F54-95393DA03DED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€300 million</t>
        </r>
      </text>
    </comment>
    <comment ref="W60" authorId="0" shapeId="0" xr:uid="{0763C38A-5919-464A-A1E3-93F9F0A4CF08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52% - 53%</t>
        </r>
      </text>
    </comment>
    <comment ref="X60" authorId="1" shapeId="0" xr:uid="{2126F8E6-D33D-4D1D-B5F6-4ACD86A3DEE5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50% and 53%</t>
        </r>
      </text>
    </comment>
  </commentList>
</comments>
</file>

<file path=xl/sharedStrings.xml><?xml version="1.0" encoding="utf-8"?>
<sst xmlns="http://schemas.openxmlformats.org/spreadsheetml/2006/main" count="297" uniqueCount="234">
  <si>
    <t>ASML</t>
  </si>
  <si>
    <t>(ASML)</t>
  </si>
  <si>
    <t>Shares</t>
  </si>
  <si>
    <t>Cash</t>
  </si>
  <si>
    <t>Debt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</si>
  <si>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</si>
  <si>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</si>
  <si>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</si>
  <si>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</si>
  <si>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</si>
  <si>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</si>
  <si>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</si>
  <si>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</si>
  <si>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</si>
  <si>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</si>
  <si>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</si>
  <si>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</si>
  <si>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</si>
  <si>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</si>
  <si>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</si>
  <si>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</si>
  <si>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</si>
  <si>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</si>
  <si>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</si>
  <si>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</si>
  <si>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</si>
  <si>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</si>
  <si>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</si>
  <si>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R&amp;D</t>
  </si>
  <si>
    <t>SG&amp;A</t>
  </si>
  <si>
    <t>Operating expense</t>
  </si>
  <si>
    <t>Operating income</t>
  </si>
  <si>
    <t>Interest</t>
  </si>
  <si>
    <t>Pretax</t>
  </si>
  <si>
    <t>Taxes</t>
  </si>
  <si>
    <t>Net income</t>
  </si>
  <si>
    <t>EPS</t>
  </si>
  <si>
    <t>Gross margin</t>
  </si>
  <si>
    <t>Operating margin</t>
  </si>
  <si>
    <t xml:space="preserve">Net margin </t>
  </si>
  <si>
    <t>Taxe rate</t>
  </si>
  <si>
    <t>Other</t>
  </si>
  <si>
    <t>Revenue y/y</t>
  </si>
  <si>
    <t>Net cash</t>
  </si>
  <si>
    <t>A/R</t>
  </si>
  <si>
    <t>Invoice</t>
  </si>
  <si>
    <t>Lease</t>
  </si>
  <si>
    <t>Inventories</t>
  </si>
  <si>
    <t>Assets</t>
  </si>
  <si>
    <t>D/T</t>
  </si>
  <si>
    <t>Investments</t>
  </si>
  <si>
    <t>Goodwill</t>
  </si>
  <si>
    <t>PP&amp;E</t>
  </si>
  <si>
    <t>Operating</t>
  </si>
  <si>
    <t>Contract</t>
  </si>
  <si>
    <t>Accrued</t>
  </si>
  <si>
    <t>Liabilities</t>
  </si>
  <si>
    <t>S/E</t>
  </si>
  <si>
    <t>L+S/E</t>
  </si>
  <si>
    <t>Current liabilities</t>
  </si>
  <si>
    <t>Loan</t>
  </si>
  <si>
    <t>Model NI</t>
  </si>
  <si>
    <t>Reported NI</t>
  </si>
  <si>
    <t>D&amp;A</t>
  </si>
  <si>
    <t>Disposal</t>
  </si>
  <si>
    <t>SBC</t>
  </si>
  <si>
    <t>Working capital</t>
  </si>
  <si>
    <t>CFFO</t>
  </si>
  <si>
    <t>CapEx</t>
  </si>
  <si>
    <t>Intangible</t>
  </si>
  <si>
    <t>Maturity</t>
  </si>
  <si>
    <t>Loans</t>
  </si>
  <si>
    <t>CFFI</t>
  </si>
  <si>
    <t>Issuance shares</t>
  </si>
  <si>
    <t>Issuance notes</t>
  </si>
  <si>
    <t>Debt/lease</t>
  </si>
  <si>
    <t>CFFF</t>
  </si>
  <si>
    <t>FX</t>
  </si>
  <si>
    <t>CIC</t>
  </si>
  <si>
    <t>Inventory</t>
  </si>
  <si>
    <t>Sales</t>
  </si>
  <si>
    <t>Cash end period</t>
  </si>
  <si>
    <t>Dividends</t>
  </si>
  <si>
    <t>Acquisition</t>
  </si>
  <si>
    <t>(in millions €)</t>
  </si>
  <si>
    <t>System sales</t>
  </si>
  <si>
    <t>Service and field option sales</t>
  </si>
  <si>
    <t>Cost of system sales</t>
  </si>
  <si>
    <t>Cost of service and field option sales</t>
  </si>
  <si>
    <t>ROIC</t>
  </si>
  <si>
    <t>Workforce</t>
  </si>
  <si>
    <t>Operations</t>
  </si>
  <si>
    <t>Sales &amp; support</t>
  </si>
  <si>
    <t>EUV</t>
  </si>
  <si>
    <t>Lithography systems sold</t>
  </si>
  <si>
    <t>Used lithography systems sold</t>
  </si>
  <si>
    <t>New lithography systems sold</t>
  </si>
  <si>
    <t>ArFi</t>
  </si>
  <si>
    <t>ArFdry</t>
  </si>
  <si>
    <t>KrF</t>
  </si>
  <si>
    <t>I-Line</t>
  </si>
  <si>
    <t>China</t>
  </si>
  <si>
    <t>South Korea</t>
  </si>
  <si>
    <t>Taiwan</t>
  </si>
  <si>
    <t>EMEA</t>
  </si>
  <si>
    <t>USA</t>
  </si>
  <si>
    <t>Japan</t>
  </si>
  <si>
    <t>Rest of Asia</t>
  </si>
  <si>
    <t>Metrology &amp; Inspection</t>
  </si>
  <si>
    <t>CEO</t>
  </si>
  <si>
    <t>Christophe Fouquet</t>
  </si>
  <si>
    <t>CFO</t>
  </si>
  <si>
    <t>Roger Dassen</t>
  </si>
  <si>
    <t>Interview Christophe Fouquet to Nikkei Asia and Financial Times</t>
  </si>
  <si>
    <t>Peter Wennink</t>
  </si>
  <si>
    <t>Martin van den Brink</t>
  </si>
  <si>
    <t>Key figure</t>
  </si>
  <si>
    <t>EEP</t>
  </si>
  <si>
    <t>energy efficient performance</t>
  </si>
  <si>
    <t>Cymer</t>
  </si>
  <si>
    <t>Discount rate</t>
  </si>
  <si>
    <t>Terminal value</t>
  </si>
  <si>
    <t>NPV</t>
  </si>
  <si>
    <t>Per share</t>
  </si>
  <si>
    <t>Current price</t>
  </si>
  <si>
    <t>Upside</t>
  </si>
  <si>
    <t>Total value</t>
  </si>
  <si>
    <t>Suppliers</t>
  </si>
  <si>
    <t>First wafer stepper made in 1986 150mm</t>
  </si>
  <si>
    <t>Joint venture Philips and ASM International 1984</t>
  </si>
  <si>
    <t>FCF</t>
  </si>
  <si>
    <t>FCF TTM</t>
  </si>
  <si>
    <t>Payroll employees</t>
  </si>
  <si>
    <t>Temporary employees</t>
  </si>
  <si>
    <t>NXE:3800E</t>
  </si>
  <si>
    <t>Low NA EUV</t>
  </si>
  <si>
    <t>NXE:3600D</t>
  </si>
  <si>
    <t>Model</t>
  </si>
  <si>
    <t>TPH</t>
  </si>
  <si>
    <t>Wafers TPH</t>
  </si>
  <si>
    <t>Performance</t>
  </si>
  <si>
    <t>Throughput per hour</t>
  </si>
  <si>
    <t>High NA EUV</t>
  </si>
  <si>
    <t>September presentation of the latest data at a lithography conference</t>
  </si>
  <si>
    <t>Yield</t>
  </si>
  <si>
    <t>Founded</t>
  </si>
  <si>
    <t>Founders</t>
  </si>
  <si>
    <t>ASM International, Philips</t>
  </si>
  <si>
    <t xml:space="preserve">A key challenge in EUV lithography is to generate light with an extremely short wavelength. </t>
  </si>
  <si>
    <t>This creates a plasma flash with the desired wave-length of 13.5 nanometers. TRUMPF has developed a unique beam source based on its CO2 laser technology for this purpose.</t>
  </si>
  <si>
    <t>The TRUMPF laser amplifier amplifies a weak laser pulse in five amplifier stages by more than 10.000 times to over 30 kilowatts of average power, with a peak pulse power of several megawatts.</t>
  </si>
  <si>
    <t>Trumpf; laserfabrikant a laser amplifier for EUV light</t>
  </si>
  <si>
    <t>Carl Zeis; Lenzenfabrikant</t>
  </si>
  <si>
    <t>Acqui-hire; Mapper, E-beam technologie</t>
  </si>
  <si>
    <t>EXE:5000</t>
  </si>
  <si>
    <t>Moore's law the observation that the number of transitors in an integrated circuit (IC) doubles every two years for more than 30 years.</t>
  </si>
  <si>
    <t>NA</t>
  </si>
  <si>
    <t>Introducing a novel optics design and significantly faster reticle and wafer stages</t>
  </si>
  <si>
    <t>EXE:5200</t>
  </si>
  <si>
    <t>Start supporting high-volume of manufacturing in 2025/2026</t>
  </si>
  <si>
    <t>NXT:2100i</t>
  </si>
  <si>
    <t>NXT:1470</t>
  </si>
  <si>
    <t>NXT:870</t>
  </si>
  <si>
    <t>XT:860N</t>
  </si>
  <si>
    <t>XT:400L</t>
  </si>
  <si>
    <t>0,55 and &lt;</t>
  </si>
  <si>
    <t>95% of the systems sold are still in use.</t>
  </si>
  <si>
    <t>YieldStar optical metrology systems</t>
  </si>
  <si>
    <t>Yieldstar 500</t>
  </si>
  <si>
    <t>HMI electron beam</t>
  </si>
  <si>
    <t xml:space="preserve">HMI eScan 600 </t>
  </si>
  <si>
    <t>high-resolution e-beam metrology</t>
  </si>
  <si>
    <t>system HMI eP5</t>
  </si>
  <si>
    <t>NXT:1980</t>
  </si>
  <si>
    <t>NXT:1970</t>
  </si>
  <si>
    <t>NXT:2000i</t>
  </si>
  <si>
    <t>NXT:2050i</t>
  </si>
  <si>
    <t xml:space="preserve">Enhance complex pattering solutions, such as </t>
  </si>
  <si>
    <t>Applied Materials Inc and KLA-Tencor Corporation</t>
  </si>
  <si>
    <t>Net bookings</t>
  </si>
  <si>
    <t>Q125</t>
  </si>
  <si>
    <t>Q225</t>
  </si>
  <si>
    <t>Q325</t>
  </si>
  <si>
    <t>Q425</t>
  </si>
  <si>
    <t>Main!A1</t>
  </si>
  <si>
    <t>Technologies</t>
  </si>
  <si>
    <t>Fabs</t>
  </si>
  <si>
    <t>Resolution</t>
  </si>
  <si>
    <t>EUV light wavelenght</t>
  </si>
  <si>
    <r>
      <rPr>
        <b/>
        <sz val="10"/>
        <color theme="1"/>
        <rFont val="Arial"/>
        <family val="2"/>
      </rPr>
      <t>Restrictions</t>
    </r>
    <r>
      <rPr>
        <sz val="10"/>
        <color theme="1"/>
        <rFont val="arial"/>
        <family val="2"/>
      </rPr>
      <t xml:space="preserve"> semiconductors from the U.S.</t>
    </r>
  </si>
  <si>
    <r>
      <rPr>
        <b/>
        <sz val="10"/>
        <color theme="1"/>
        <rFont val="Arial"/>
        <family val="2"/>
      </rPr>
      <t>Compete</t>
    </r>
    <r>
      <rPr>
        <sz val="10"/>
        <color theme="1"/>
        <rFont val="arial"/>
        <family val="2"/>
      </rPr>
      <t xml:space="preserve"> with Cannon and Nikon respect to DUV</t>
    </r>
  </si>
  <si>
    <t>13nm</t>
  </si>
  <si>
    <t>13,5nm</t>
  </si>
  <si>
    <t>8nm</t>
  </si>
  <si>
    <t>≥220</t>
  </si>
  <si>
    <t>≥185</t>
  </si>
  <si>
    <t>≥295</t>
  </si>
  <si>
    <t>≥160</t>
  </si>
  <si>
    <t>NXE:3400C</t>
  </si>
  <si>
    <t>≥170</t>
  </si>
  <si>
    <t>≥260</t>
  </si>
  <si>
    <t>≥330</t>
  </si>
  <si>
    <t>≥300</t>
  </si>
  <si>
    <t>NXT:2150i</t>
  </si>
  <si>
    <t>NXT:870B</t>
  </si>
  <si>
    <t>≥400</t>
  </si>
  <si>
    <t>Challenges on cost, power consumption will drive more advanced DRAM Logic technology</t>
  </si>
  <si>
    <t>EUV margin</t>
  </si>
  <si>
    <t>ArFi margin</t>
  </si>
  <si>
    <t>ArFdry margin</t>
  </si>
  <si>
    <t>KrF margin</t>
  </si>
  <si>
    <t>I-Line margin</t>
  </si>
  <si>
    <t>Metrology &amp; Inspection margin</t>
  </si>
  <si>
    <t>Sales in lithography units</t>
  </si>
  <si>
    <t>Net system sales breakdown</t>
  </si>
  <si>
    <t>Price per lithography unit</t>
  </si>
  <si>
    <t>Revenue total systems sales</t>
  </si>
  <si>
    <t>End-Use</t>
  </si>
  <si>
    <t>Logic</t>
  </si>
  <si>
    <t>Memory</t>
  </si>
  <si>
    <t>Revenue total bookings end-use</t>
  </si>
  <si>
    <t>To do this, a tin generator fires 50.000 tin droplets per second into a vacuum chamber, while a laser pulse hits the droplets as they rush by.</t>
  </si>
  <si>
    <t xml:space="preserve">The laser heats the tin droplets to 220.000 degrees, which is about 45 times hotter than the sun. </t>
  </si>
  <si>
    <t>NI TTM</t>
  </si>
  <si>
    <t>Return on tangibles</t>
  </si>
  <si>
    <t>Return on equity</t>
  </si>
  <si>
    <t>EUV bookings</t>
  </si>
  <si>
    <t>Equity</t>
  </si>
  <si>
    <t>Buybacks</t>
  </si>
  <si>
    <t>Price EUR</t>
  </si>
  <si>
    <t>MC EUR</t>
  </si>
  <si>
    <t>Cash EUR</t>
  </si>
  <si>
    <t>Debt EUR</t>
  </si>
  <si>
    <t>EV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</si>
</sst>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0.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8"/>
      <color theme="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3" fontId="0" fillId="0" borderId="0" xfId="0" applyNumberForma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1" fontId="0" fillId="0" borderId="0" xfId="0" applyNumberFormat="1"/>
    <xf numFmtId="49" fontId="0" fillId="0" borderId="0" xfId="0" applyNumberFormat="1"/>
    <xf numFmtId="0" fontId="5" fillId="0" borderId="0" xfId="0" applyFont="1"/>
    <xf numFmtId="165" fontId="0" fillId="0" borderId="0" xfId="0" applyNumberFormat="1"/>
    <xf numFmtId="165" fontId="1" fillId="0" borderId="0" xfId="0" applyNumberFormat="1" applyFont="1"/>
    <xf numFmtId="0" fontId="6" fillId="0" borderId="0" xfId="1"/>
    <xf numFmtId="0" fontId="2" fillId="0" borderId="0" xfId="0" applyFont="1" applyAlignment="1">
      <alignment vertical="center"/>
    </xf>
    <xf numFmtId="3" fontId="1" fillId="2" borderId="0" xfId="0" applyNumberFormat="1" applyFont="1" applyFill="1"/>
    <xf numFmtId="1" fontId="0" fillId="0" borderId="0" xfId="0" applyNumberFormat="1" applyAlignment="1">
      <alignment horizontal="right"/>
    </xf>
    <xf numFmtId="3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3" fontId="1" fillId="3" borderId="0" xfId="0" applyNumberFormat="1" applyFont="1" applyFill="1" applyAlignment="1">
      <alignment horizontal="left"/>
    </xf>
    <xf numFmtId="9" fontId="1" fillId="3" borderId="0" xfId="0" applyNumberFormat="1" applyFont="1" applyFill="1" applyAlignment="1">
      <alignment horizontal="right"/>
    </xf>
    <xf numFmtId="9" fontId="1" fillId="3" borderId="0" xfId="0" applyNumberFormat="1" applyFont="1" applyFill="1" applyAlignment="1">
      <alignment horizontal="left"/>
    </xf>
    <xf numFmtId="3" fontId="1" fillId="3" borderId="0" xfId="0" applyNumberFormat="1" applyFont="1" applyFill="1"/>
    <xf numFmtId="9" fontId="1" fillId="3" borderId="0" xfId="0" applyNumberFormat="1" applyFont="1" applyFill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19050</xdr:colOff>
      <xdr:row>0</xdr:row>
      <xdr:rowOff>28575</xdr:rowOff>
    </xdr:from>
    <xdr:to>
      <xdr:col>38</xdr:col>
      <xdr:colOff>19050</xdr:colOff>
      <xdr:row>140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40F472-6110-28E7-860B-D3B99D3072CC}"/>
            </a:ext>
          </a:extLst>
        </xdr:cNvPr>
        <xdr:cNvCxnSpPr/>
      </xdr:nvCxnSpPr>
      <xdr:spPr>
        <a:xfrm>
          <a:off x="23631525" y="28575"/>
          <a:ext cx="0" cy="24288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0</xdr:row>
      <xdr:rowOff>19050</xdr:rowOff>
    </xdr:from>
    <xdr:to>
      <xdr:col>23</xdr:col>
      <xdr:colOff>19050</xdr:colOff>
      <xdr:row>145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A6B37A6-057F-0292-7D57-B54B31ED0E0D}"/>
            </a:ext>
          </a:extLst>
        </xdr:cNvPr>
        <xdr:cNvCxnSpPr/>
      </xdr:nvCxnSpPr>
      <xdr:spPr>
        <a:xfrm>
          <a:off x="16402050" y="19050"/>
          <a:ext cx="0" cy="23545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</xdr:colOff>
      <xdr:row>0</xdr:row>
      <xdr:rowOff>19050</xdr:rowOff>
    </xdr:from>
    <xdr:to>
      <xdr:col>23</xdr:col>
      <xdr:colOff>28575</xdr:colOff>
      <xdr:row>40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80411B-DE06-6481-47AA-E13889B969C1}"/>
            </a:ext>
          </a:extLst>
        </xdr:cNvPr>
        <xdr:cNvCxnSpPr/>
      </xdr:nvCxnSpPr>
      <xdr:spPr>
        <a:xfrm>
          <a:off x="13763625" y="19050"/>
          <a:ext cx="0" cy="655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10</xdr:col>
      <xdr:colOff>342900</xdr:colOff>
      <xdr:row>41</xdr:row>
      <xdr:rowOff>145968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E4B88B-1C71-4DF7-9134-17CAFE59E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80975"/>
          <a:ext cx="5810250" cy="6603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AE9A-4D33-4E9F-AA6E-E7AA7D9DDC5A}">
  <dimension ref="A1:AA1048576"/>
  <sheetViews>
    <sheetView topLeftCell="E1" workbookViewId="0">
      <selection activeCell="M6" sqref="M6"/>
    </sheetView>
  </sheetViews>
  <sheetFormatPr defaultRowHeight="12.75" x14ac:dyDescent="0.2"/>
  <cols>
    <col min="1" max="1" width="2.7109375" customWidth="1"/>
    <col min="2" max="2" width="16.85546875" bestFit="1" customWidth="1"/>
    <col min="3" max="3" width="12.7109375" bestFit="1" customWidth="1"/>
    <col min="4" max="4" width="13.28515625" customWidth="1"/>
    <col min="5" max="5" width="18.42578125" customWidth="1"/>
    <col min="6" max="6" width="11" bestFit="1" customWidth="1"/>
    <col min="7" max="7" width="9.28515625" customWidth="1"/>
    <col min="8" max="8" width="11.140625" customWidth="1"/>
    <col min="9" max="21" width="9.28515625" customWidth="1"/>
    <col min="23" max="24" width="9.140625" customWidth="1"/>
  </cols>
  <sheetData>
    <row r="1" spans="1:27" ht="34.5" x14ac:dyDescent="0.45">
      <c r="A1" s="1"/>
      <c r="B1" s="1" t="s">
        <v>0</v>
      </c>
    </row>
    <row r="2" spans="1:27" x14ac:dyDescent="0.2">
      <c r="B2" t="s">
        <v>1</v>
      </c>
      <c r="C2" s="8" t="s">
        <v>140</v>
      </c>
      <c r="K2" t="s">
        <v>229</v>
      </c>
      <c r="L2" s="4">
        <v>570</v>
      </c>
      <c r="O2" s="24" t="s">
        <v>117</v>
      </c>
      <c r="P2" s="24" t="s">
        <v>118</v>
      </c>
    </row>
    <row r="3" spans="1:27" x14ac:dyDescent="0.2">
      <c r="D3" s="5" t="s">
        <v>137</v>
      </c>
      <c r="E3" s="12" t="s">
        <v>188</v>
      </c>
      <c r="F3" s="12" t="s">
        <v>187</v>
      </c>
      <c r="G3" s="12" t="s">
        <v>156</v>
      </c>
      <c r="H3" s="12" t="s">
        <v>139</v>
      </c>
      <c r="K3" t="s">
        <v>2</v>
      </c>
      <c r="L3" s="4">
        <v>392.5</v>
      </c>
      <c r="M3" s="12" t="s">
        <v>180</v>
      </c>
      <c r="O3" s="24" t="s">
        <v>138</v>
      </c>
      <c r="P3" s="24" t="s">
        <v>141</v>
      </c>
      <c r="Q3" s="24"/>
    </row>
    <row r="4" spans="1:27" x14ac:dyDescent="0.2">
      <c r="D4" s="5" t="s">
        <v>164</v>
      </c>
      <c r="E4" s="12"/>
      <c r="F4" s="12"/>
      <c r="G4" s="12"/>
      <c r="H4" s="12"/>
      <c r="K4" t="s">
        <v>230</v>
      </c>
      <c r="L4" s="4">
        <f>+L2*L3</f>
        <v>223725</v>
      </c>
      <c r="M4" s="12"/>
    </row>
    <row r="5" spans="1:27" x14ac:dyDescent="0.2">
      <c r="D5" s="5" t="s">
        <v>163</v>
      </c>
      <c r="E5" s="12"/>
      <c r="F5" s="12"/>
      <c r="G5" s="12"/>
      <c r="H5" s="12" t="s">
        <v>200</v>
      </c>
      <c r="K5" t="s">
        <v>231</v>
      </c>
      <c r="L5" s="4">
        <f>+Model!W69</f>
        <v>9103.6</v>
      </c>
      <c r="M5" s="12" t="s">
        <v>180</v>
      </c>
      <c r="V5" s="4"/>
      <c r="W5" s="4"/>
      <c r="X5" s="4"/>
      <c r="Y5" s="4"/>
      <c r="Z5" s="4"/>
      <c r="AA5" s="4"/>
    </row>
    <row r="6" spans="1:27" x14ac:dyDescent="0.2">
      <c r="D6" s="5" t="s">
        <v>162</v>
      </c>
      <c r="E6" s="12"/>
      <c r="F6" s="12"/>
      <c r="G6" s="12"/>
      <c r="H6" s="12" t="s">
        <v>201</v>
      </c>
      <c r="K6" t="s">
        <v>232</v>
      </c>
      <c r="L6" s="4">
        <f>+Model!W84</f>
        <v>3681</v>
      </c>
      <c r="M6" s="12" t="s">
        <v>180</v>
      </c>
      <c r="W6" s="4"/>
      <c r="X6" s="4"/>
      <c r="Y6" s="4"/>
      <c r="Z6" s="4"/>
    </row>
    <row r="7" spans="1:27" x14ac:dyDescent="0.2">
      <c r="D7" s="5" t="s">
        <v>204</v>
      </c>
      <c r="E7" s="12"/>
      <c r="F7" s="12"/>
      <c r="G7" s="12"/>
      <c r="H7" s="12" t="s">
        <v>205</v>
      </c>
      <c r="K7" t="s">
        <v>233</v>
      </c>
      <c r="L7" s="4">
        <f>+L4-L5+L6</f>
        <v>218302.4</v>
      </c>
      <c r="W7" s="4"/>
      <c r="Z7" s="4"/>
    </row>
    <row r="8" spans="1:27" x14ac:dyDescent="0.2">
      <c r="D8" s="5" t="s">
        <v>161</v>
      </c>
      <c r="E8" s="12"/>
      <c r="F8" s="12"/>
      <c r="G8" s="12"/>
      <c r="H8" s="12" t="s">
        <v>202</v>
      </c>
      <c r="L8" s="4">
        <v>9295</v>
      </c>
      <c r="W8" s="4"/>
      <c r="X8" s="4"/>
      <c r="Z8" s="4"/>
    </row>
    <row r="9" spans="1:27" ht="15" customHeight="1" x14ac:dyDescent="0.2">
      <c r="D9" s="5" t="s">
        <v>174</v>
      </c>
      <c r="E9" s="12"/>
      <c r="F9" s="12"/>
      <c r="G9" s="12"/>
      <c r="H9" s="12"/>
      <c r="L9" s="3">
        <f>+L7/L8</f>
        <v>23.486003227541687</v>
      </c>
    </row>
    <row r="10" spans="1:27" x14ac:dyDescent="0.2">
      <c r="D10" s="5" t="s">
        <v>173</v>
      </c>
      <c r="E10" s="12"/>
      <c r="F10" s="12"/>
      <c r="G10" s="12"/>
      <c r="H10" s="12"/>
      <c r="T10" s="22"/>
    </row>
    <row r="11" spans="1:27" x14ac:dyDescent="0.2">
      <c r="D11" s="5" t="s">
        <v>175</v>
      </c>
      <c r="E11" s="12"/>
      <c r="F11" s="12"/>
      <c r="G11" s="12"/>
      <c r="H11" s="12"/>
      <c r="K11" t="s">
        <v>145</v>
      </c>
      <c r="L11">
        <v>1984</v>
      </c>
    </row>
    <row r="12" spans="1:27" x14ac:dyDescent="0.2">
      <c r="D12" s="5" t="s">
        <v>176</v>
      </c>
      <c r="E12" s="12"/>
      <c r="F12" s="12"/>
      <c r="G12" s="12"/>
      <c r="H12" s="12"/>
      <c r="K12" t="s">
        <v>146</v>
      </c>
      <c r="L12" t="s">
        <v>147</v>
      </c>
    </row>
    <row r="13" spans="1:27" x14ac:dyDescent="0.2">
      <c r="D13" s="5" t="s">
        <v>160</v>
      </c>
      <c r="E13" s="12"/>
      <c r="F13" s="12"/>
      <c r="G13" s="12"/>
      <c r="H13" s="12" t="s">
        <v>196</v>
      </c>
      <c r="K13" t="s">
        <v>109</v>
      </c>
      <c r="L13" t="s">
        <v>110</v>
      </c>
    </row>
    <row r="14" spans="1:27" x14ac:dyDescent="0.2">
      <c r="D14" s="5" t="s">
        <v>203</v>
      </c>
      <c r="E14" s="12"/>
      <c r="F14" s="12"/>
      <c r="G14" s="12"/>
      <c r="H14" s="12"/>
      <c r="K14" t="s">
        <v>111</v>
      </c>
      <c r="L14" t="s">
        <v>112</v>
      </c>
    </row>
    <row r="15" spans="1:27" ht="12.75" customHeight="1" x14ac:dyDescent="0.2">
      <c r="C15" t="s">
        <v>135</v>
      </c>
      <c r="D15" s="5" t="s">
        <v>198</v>
      </c>
      <c r="E15" s="12" t="s">
        <v>192</v>
      </c>
      <c r="F15" s="12" t="s">
        <v>191</v>
      </c>
      <c r="G15" s="12">
        <v>0.33</v>
      </c>
      <c r="H15" s="12" t="s">
        <v>199</v>
      </c>
    </row>
    <row r="16" spans="1:27" x14ac:dyDescent="0.2">
      <c r="D16" s="5" t="s">
        <v>136</v>
      </c>
      <c r="E16" s="12" t="s">
        <v>192</v>
      </c>
      <c r="F16" s="12" t="s">
        <v>191</v>
      </c>
      <c r="G16" s="12">
        <v>0.33</v>
      </c>
      <c r="H16" s="30" t="s">
        <v>197</v>
      </c>
      <c r="K16" t="s">
        <v>129</v>
      </c>
    </row>
    <row r="17" spans="3:12" x14ac:dyDescent="0.2">
      <c r="C17" t="s">
        <v>157</v>
      </c>
      <c r="D17" s="5" t="s">
        <v>134</v>
      </c>
      <c r="E17" s="12" t="s">
        <v>192</v>
      </c>
      <c r="F17" s="12" t="s">
        <v>191</v>
      </c>
      <c r="G17" s="12">
        <v>0.33</v>
      </c>
      <c r="H17" s="12" t="s">
        <v>194</v>
      </c>
      <c r="K17" t="s">
        <v>128</v>
      </c>
    </row>
    <row r="18" spans="3:12" x14ac:dyDescent="0.2">
      <c r="C18" t="s">
        <v>142</v>
      </c>
      <c r="D18" s="5" t="s">
        <v>154</v>
      </c>
      <c r="E18" s="12" t="s">
        <v>192</v>
      </c>
      <c r="F18" s="12" t="s">
        <v>193</v>
      </c>
      <c r="G18" s="12">
        <v>0.55000000000000004</v>
      </c>
      <c r="H18" s="12" t="s">
        <v>195</v>
      </c>
    </row>
    <row r="19" spans="3:12" ht="12.75" customHeight="1" x14ac:dyDescent="0.2">
      <c r="C19" t="s">
        <v>159</v>
      </c>
      <c r="K19" t="s">
        <v>116</v>
      </c>
      <c r="L19" t="s">
        <v>114</v>
      </c>
    </row>
    <row r="20" spans="3:12" x14ac:dyDescent="0.2">
      <c r="D20" t="s">
        <v>158</v>
      </c>
      <c r="E20" s="12" t="s">
        <v>165</v>
      </c>
      <c r="K20" t="s">
        <v>116</v>
      </c>
      <c r="L20" t="s">
        <v>115</v>
      </c>
    </row>
    <row r="21" spans="3:12" ht="15" customHeight="1" x14ac:dyDescent="0.2">
      <c r="C21" t="s">
        <v>166</v>
      </c>
      <c r="G21" s="21"/>
    </row>
    <row r="22" spans="3:12" x14ac:dyDescent="0.2">
      <c r="G22" s="21"/>
      <c r="K22" t="s">
        <v>113</v>
      </c>
    </row>
    <row r="23" spans="3:12" ht="15" customHeight="1" x14ac:dyDescent="0.2">
      <c r="C23" t="s">
        <v>167</v>
      </c>
      <c r="G23" s="21"/>
      <c r="K23" t="s">
        <v>143</v>
      </c>
      <c r="L23" s="10"/>
    </row>
    <row r="24" spans="3:12" ht="13.5" customHeight="1" x14ac:dyDescent="0.2">
      <c r="C24" t="s">
        <v>168</v>
      </c>
      <c r="G24" s="21"/>
    </row>
    <row r="25" spans="3:12" ht="13.5" customHeight="1" x14ac:dyDescent="0.2">
      <c r="C25" t="s">
        <v>169</v>
      </c>
      <c r="G25" s="21"/>
    </row>
    <row r="26" spans="3:12" ht="13.5" customHeight="1" x14ac:dyDescent="0.2">
      <c r="C26" t="s">
        <v>170</v>
      </c>
      <c r="G26" s="21"/>
    </row>
    <row r="27" spans="3:12" ht="13.5" customHeight="1" x14ac:dyDescent="0.2">
      <c r="C27" t="s">
        <v>171</v>
      </c>
      <c r="G27" s="21"/>
    </row>
    <row r="28" spans="3:12" ht="13.5" customHeight="1" x14ac:dyDescent="0.2">
      <c r="C28" t="s">
        <v>172</v>
      </c>
      <c r="G28" s="21"/>
    </row>
    <row r="29" spans="3:12" ht="13.5" customHeight="1" x14ac:dyDescent="0.2">
      <c r="G29" s="21"/>
    </row>
    <row r="30" spans="3:12" ht="13.5" customHeight="1" x14ac:dyDescent="0.2">
      <c r="C30" t="s">
        <v>190</v>
      </c>
    </row>
    <row r="31" spans="3:12" ht="13.5" customHeight="1" x14ac:dyDescent="0.2">
      <c r="C31" t="s">
        <v>177</v>
      </c>
    </row>
    <row r="32" spans="3:12" ht="13.5" customHeight="1" x14ac:dyDescent="0.2">
      <c r="C32" t="s">
        <v>178</v>
      </c>
    </row>
    <row r="33" spans="3:15" ht="13.5" customHeight="1" x14ac:dyDescent="0.2"/>
    <row r="34" spans="3:15" ht="13.5" customHeight="1" x14ac:dyDescent="0.2">
      <c r="C34" t="s">
        <v>189</v>
      </c>
    </row>
    <row r="35" spans="3:15" x14ac:dyDescent="0.2">
      <c r="C35" t="s">
        <v>185</v>
      </c>
    </row>
    <row r="36" spans="3:15" ht="13.5" customHeight="1" x14ac:dyDescent="0.2">
      <c r="C36" t="s">
        <v>186</v>
      </c>
      <c r="L36" s="8"/>
      <c r="M36" s="8"/>
    </row>
    <row r="38" spans="3:15" ht="13.5" customHeight="1" x14ac:dyDescent="0.2">
      <c r="C38" s="8" t="s">
        <v>127</v>
      </c>
      <c r="I38" s="18"/>
    </row>
    <row r="39" spans="3:15" ht="13.5" customHeight="1" x14ac:dyDescent="0.2">
      <c r="C39" t="s">
        <v>152</v>
      </c>
    </row>
    <row r="40" spans="3:15" ht="13.5" customHeight="1" x14ac:dyDescent="0.2">
      <c r="C40" t="s">
        <v>153</v>
      </c>
      <c r="D40" s="8"/>
      <c r="O40" s="23"/>
    </row>
    <row r="41" spans="3:15" ht="13.5" customHeight="1" x14ac:dyDescent="0.2">
      <c r="C41" t="s">
        <v>119</v>
      </c>
      <c r="M41" s="21"/>
      <c r="N41" s="21"/>
    </row>
    <row r="42" spans="3:15" ht="13.5" customHeight="1" x14ac:dyDescent="0.2">
      <c r="C42" t="s">
        <v>151</v>
      </c>
      <c r="L42" s="21"/>
      <c r="M42" s="21"/>
      <c r="N42" s="21"/>
    </row>
    <row r="43" spans="3:15" ht="13.5" customHeight="1" x14ac:dyDescent="0.2">
      <c r="C43" s="21" t="s">
        <v>148</v>
      </c>
      <c r="L43" s="21"/>
      <c r="M43" s="21"/>
      <c r="N43" s="21"/>
    </row>
    <row r="44" spans="3:15" x14ac:dyDescent="0.2">
      <c r="C44" s="21" t="s">
        <v>221</v>
      </c>
      <c r="L44" s="21"/>
      <c r="M44" s="21"/>
      <c r="N44" s="21"/>
    </row>
    <row r="45" spans="3:15" x14ac:dyDescent="0.2">
      <c r="C45" t="s">
        <v>222</v>
      </c>
      <c r="L45" s="21"/>
      <c r="M45" s="21"/>
      <c r="N45" s="21"/>
    </row>
    <row r="46" spans="3:15" x14ac:dyDescent="0.2">
      <c r="C46" s="21" t="s">
        <v>149</v>
      </c>
      <c r="L46" s="21"/>
      <c r="M46" s="21"/>
      <c r="N46" s="21"/>
    </row>
    <row r="47" spans="3:15" x14ac:dyDescent="0.2">
      <c r="C47" s="21" t="s">
        <v>150</v>
      </c>
      <c r="K47" s="21"/>
      <c r="L47" s="21"/>
      <c r="M47" s="21"/>
      <c r="N47" s="21"/>
    </row>
    <row r="48" spans="3:15" x14ac:dyDescent="0.2">
      <c r="K48" s="21"/>
      <c r="L48" s="21"/>
      <c r="M48" s="21"/>
      <c r="N48" s="21"/>
    </row>
    <row r="49" spans="3:14" x14ac:dyDescent="0.2">
      <c r="C49" s="21" t="s">
        <v>206</v>
      </c>
      <c r="K49" s="21"/>
      <c r="L49" s="21"/>
      <c r="M49" s="21"/>
      <c r="N49" s="21"/>
    </row>
    <row r="50" spans="3:14" x14ac:dyDescent="0.2">
      <c r="K50" s="21"/>
      <c r="L50" s="21"/>
      <c r="M50" s="21"/>
      <c r="N50" s="21"/>
    </row>
    <row r="51" spans="3:14" x14ac:dyDescent="0.2">
      <c r="K51" s="21"/>
      <c r="L51" s="21"/>
      <c r="M51" s="21"/>
      <c r="N51" s="21"/>
    </row>
    <row r="52" spans="3:14" x14ac:dyDescent="0.2">
      <c r="J52" s="4"/>
      <c r="K52" s="25"/>
      <c r="L52" s="25"/>
    </row>
    <row r="53" spans="3:14" x14ac:dyDescent="0.2">
      <c r="J53" s="4"/>
      <c r="K53" s="25"/>
      <c r="L53" s="25"/>
    </row>
    <row r="54" spans="3:14" x14ac:dyDescent="0.2">
      <c r="J54" s="4"/>
      <c r="K54" s="25"/>
      <c r="L54" s="25"/>
    </row>
    <row r="55" spans="3:14" x14ac:dyDescent="0.2">
      <c r="J55" s="4"/>
      <c r="K55" s="25"/>
      <c r="L55" s="25"/>
    </row>
    <row r="56" spans="3:14" x14ac:dyDescent="0.2">
      <c r="J56" s="4"/>
      <c r="K56" s="25"/>
      <c r="L56" s="25"/>
    </row>
    <row r="57" spans="3:14" x14ac:dyDescent="0.2">
      <c r="J57" s="4"/>
      <c r="K57" s="25"/>
      <c r="L57" s="25"/>
    </row>
    <row r="58" spans="3:14" x14ac:dyDescent="0.2">
      <c r="J58" s="4"/>
      <c r="K58" s="25"/>
      <c r="L58" s="25"/>
    </row>
    <row r="59" spans="3:14" x14ac:dyDescent="0.2">
      <c r="J59" s="4"/>
      <c r="K59" s="25"/>
      <c r="L59" s="25"/>
    </row>
    <row r="60" spans="3:14" x14ac:dyDescent="0.2">
      <c r="J60" s="4"/>
      <c r="K60" s="25"/>
      <c r="L60" s="25"/>
    </row>
    <row r="61" spans="3:14" x14ac:dyDescent="0.2">
      <c r="J61" s="4"/>
      <c r="K61" s="25"/>
      <c r="L61" s="25"/>
    </row>
    <row r="62" spans="3:14" x14ac:dyDescent="0.2">
      <c r="J62" s="4"/>
      <c r="K62" s="25"/>
      <c r="L62" s="25"/>
    </row>
    <row r="63" spans="3:14" x14ac:dyDescent="0.2">
      <c r="J63" s="4"/>
      <c r="K63" s="25"/>
      <c r="L63" s="25"/>
      <c r="M63" s="8"/>
    </row>
    <row r="64" spans="3:14" x14ac:dyDescent="0.2">
      <c r="I64" s="8"/>
      <c r="J64" s="9"/>
      <c r="K64" s="26"/>
      <c r="L64" s="26"/>
    </row>
    <row r="1048576" spans="24:24" x14ac:dyDescent="0.2">
      <c r="X1048576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E1CC-BB2E-4844-81D6-A61D8165871F}">
  <dimension ref="A1:ES138"/>
  <sheetViews>
    <sheetView tabSelected="1" workbookViewId="0">
      <pane xSplit="2" ySplit="3" topLeftCell="Q70" activePane="bottomRight" state="frozen"/>
      <selection pane="topRight" activeCell="B1" sqref="B1"/>
      <selection pane="bottomLeft" activeCell="A4" sqref="A4"/>
      <selection pane="bottomRight" activeCell="W93" sqref="W93"/>
    </sheetView>
  </sheetViews>
  <sheetFormatPr defaultRowHeight="12.75" x14ac:dyDescent="0.2"/>
  <cols>
    <col min="1" max="1" width="3.28515625" style="4" customWidth="1"/>
    <col min="2" max="2" width="31.85546875" bestFit="1" customWidth="1"/>
    <col min="3" max="19" width="10.140625" style="4" bestFit="1" customWidth="1"/>
    <col min="20" max="20" width="9.140625" style="4"/>
    <col min="21" max="21" width="9.7109375" style="4" bestFit="1" customWidth="1"/>
    <col min="22" max="22" width="10.140625" style="4" bestFit="1" customWidth="1"/>
    <col min="23" max="23" width="9.140625" style="4"/>
    <col min="24" max="24" width="9.140625" style="2"/>
    <col min="25" max="49" width="9.140625" style="4"/>
    <col min="50" max="50" width="10" style="4" customWidth="1"/>
    <col min="51" max="53" width="9.140625" style="4"/>
    <col min="54" max="54" width="12.7109375" style="4" bestFit="1" customWidth="1"/>
    <col min="55" max="55" width="10.140625" style="4" customWidth="1"/>
    <col min="56" max="56" width="10.42578125" style="4" bestFit="1" customWidth="1"/>
    <col min="57" max="16384" width="9.140625" style="4"/>
  </cols>
  <sheetData>
    <row r="1" spans="1:53" customFormat="1" ht="12.75" customHeight="1" x14ac:dyDescent="0.2">
      <c r="A1" s="27" t="s">
        <v>184</v>
      </c>
      <c r="B1" s="28"/>
      <c r="X1" s="12"/>
    </row>
    <row r="2" spans="1:53" customFormat="1" ht="12.75" customHeight="1" x14ac:dyDescent="0.2">
      <c r="C2" s="6">
        <v>43919</v>
      </c>
      <c r="D2" s="6">
        <v>44040</v>
      </c>
      <c r="E2" s="6">
        <v>44101</v>
      </c>
      <c r="F2" s="6">
        <v>44196</v>
      </c>
      <c r="G2" s="6">
        <v>44290</v>
      </c>
      <c r="H2" s="6">
        <v>44381</v>
      </c>
      <c r="I2" s="6">
        <v>44472</v>
      </c>
      <c r="J2" s="6">
        <v>44561</v>
      </c>
      <c r="K2" s="6">
        <v>44654</v>
      </c>
      <c r="L2" s="6">
        <v>44745</v>
      </c>
      <c r="M2" s="6">
        <v>44836</v>
      </c>
      <c r="N2" s="6">
        <v>44926</v>
      </c>
      <c r="O2" s="6">
        <v>45018</v>
      </c>
      <c r="P2" s="6">
        <v>45109</v>
      </c>
      <c r="Q2" s="6">
        <v>45200</v>
      </c>
      <c r="R2" s="6">
        <v>45291</v>
      </c>
      <c r="S2" s="6">
        <v>45382</v>
      </c>
      <c r="T2" s="6">
        <v>45473</v>
      </c>
      <c r="U2" s="6">
        <v>45564</v>
      </c>
      <c r="V2" s="6">
        <v>45657</v>
      </c>
      <c r="W2" s="6">
        <v>45746</v>
      </c>
      <c r="X2" s="12"/>
    </row>
    <row r="3" spans="1:53" s="2" customFormat="1" ht="12.75" customHeight="1" x14ac:dyDescent="0.2">
      <c r="B3" s="5" t="s">
        <v>84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180</v>
      </c>
      <c r="X3" s="2" t="s">
        <v>181</v>
      </c>
      <c r="Y3" s="2" t="s">
        <v>182</v>
      </c>
      <c r="Z3" s="2" t="s">
        <v>183</v>
      </c>
      <c r="AB3" s="12">
        <v>2014</v>
      </c>
      <c r="AC3" s="12">
        <f t="shared" ref="AC3:BA3" si="0">+AB3+1</f>
        <v>2015</v>
      </c>
      <c r="AD3" s="12">
        <f t="shared" si="0"/>
        <v>2016</v>
      </c>
      <c r="AE3" s="12">
        <f t="shared" si="0"/>
        <v>2017</v>
      </c>
      <c r="AF3" s="12">
        <f t="shared" si="0"/>
        <v>2018</v>
      </c>
      <c r="AG3" s="12">
        <f t="shared" si="0"/>
        <v>2019</v>
      </c>
      <c r="AH3" s="12">
        <f t="shared" si="0"/>
        <v>2020</v>
      </c>
      <c r="AI3" s="12">
        <f t="shared" si="0"/>
        <v>2021</v>
      </c>
      <c r="AJ3" s="12">
        <f t="shared" si="0"/>
        <v>2022</v>
      </c>
      <c r="AK3" s="12">
        <f t="shared" si="0"/>
        <v>2023</v>
      </c>
      <c r="AL3" s="12">
        <f t="shared" si="0"/>
        <v>2024</v>
      </c>
      <c r="AM3" s="12">
        <f t="shared" si="0"/>
        <v>2025</v>
      </c>
      <c r="AN3" s="12">
        <f t="shared" si="0"/>
        <v>2026</v>
      </c>
      <c r="AO3" s="12">
        <f t="shared" si="0"/>
        <v>2027</v>
      </c>
      <c r="AP3" s="12">
        <f t="shared" si="0"/>
        <v>2028</v>
      </c>
      <c r="AQ3" s="12">
        <f t="shared" si="0"/>
        <v>2029</v>
      </c>
      <c r="AR3" s="12">
        <f t="shared" si="0"/>
        <v>2030</v>
      </c>
      <c r="AS3" s="12">
        <f t="shared" si="0"/>
        <v>2031</v>
      </c>
      <c r="AT3" s="12">
        <f t="shared" si="0"/>
        <v>2032</v>
      </c>
      <c r="AU3" s="12">
        <f t="shared" si="0"/>
        <v>2033</v>
      </c>
      <c r="AV3" s="12">
        <f t="shared" si="0"/>
        <v>2034</v>
      </c>
      <c r="AW3" s="12">
        <f t="shared" si="0"/>
        <v>2035</v>
      </c>
      <c r="AX3" s="12">
        <f t="shared" si="0"/>
        <v>2036</v>
      </c>
      <c r="AY3" s="12">
        <f t="shared" si="0"/>
        <v>2037</v>
      </c>
      <c r="AZ3" s="12">
        <f t="shared" si="0"/>
        <v>2038</v>
      </c>
      <c r="BA3" s="12">
        <f t="shared" si="0"/>
        <v>2039</v>
      </c>
    </row>
    <row r="4" spans="1:53" s="2" customFormat="1" ht="12.75" customHeight="1" x14ac:dyDescent="0.2">
      <c r="B4" s="5" t="s">
        <v>226</v>
      </c>
      <c r="G4" s="2">
        <v>2294</v>
      </c>
      <c r="H4" s="2">
        <v>4900</v>
      </c>
      <c r="I4" s="2">
        <v>2900</v>
      </c>
      <c r="J4" s="2">
        <v>2600</v>
      </c>
      <c r="K4" s="2">
        <v>2500</v>
      </c>
      <c r="L4" s="2">
        <v>5400</v>
      </c>
      <c r="M4" s="2">
        <v>3800</v>
      </c>
      <c r="N4" s="2">
        <v>3400</v>
      </c>
      <c r="O4" s="2">
        <v>1600</v>
      </c>
      <c r="P4" s="2">
        <v>1600</v>
      </c>
      <c r="Q4" s="2">
        <v>500</v>
      </c>
      <c r="R4" s="2">
        <v>5600</v>
      </c>
      <c r="S4" s="2">
        <v>656</v>
      </c>
      <c r="T4" s="2">
        <v>2500</v>
      </c>
      <c r="U4" s="2">
        <v>1400</v>
      </c>
      <c r="V4" s="2">
        <v>3000</v>
      </c>
      <c r="W4" s="4">
        <v>1200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spans="1:53" s="2" customFormat="1" ht="12.75" customHeight="1" x14ac:dyDescent="0.2">
      <c r="B5" s="13" t="s">
        <v>179</v>
      </c>
      <c r="D5" s="2">
        <v>1101</v>
      </c>
      <c r="E5" s="2">
        <v>2868</v>
      </c>
      <c r="F5" s="2">
        <v>4238</v>
      </c>
      <c r="G5" s="2">
        <v>4740</v>
      </c>
      <c r="H5" s="2">
        <v>8271</v>
      </c>
      <c r="I5" s="2">
        <v>6200</v>
      </c>
      <c r="J5" s="2">
        <v>7100</v>
      </c>
      <c r="K5" s="2">
        <v>6977</v>
      </c>
      <c r="L5" s="2">
        <v>8461</v>
      </c>
      <c r="M5" s="2">
        <v>8920</v>
      </c>
      <c r="N5" s="2">
        <v>6316</v>
      </c>
      <c r="O5" s="2">
        <v>3752</v>
      </c>
      <c r="P5" s="2">
        <v>4500</v>
      </c>
      <c r="Q5" s="2">
        <v>2602</v>
      </c>
      <c r="R5" s="2">
        <v>9186</v>
      </c>
      <c r="S5" s="2">
        <v>3611</v>
      </c>
      <c r="T5" s="2">
        <v>5600</v>
      </c>
      <c r="U5" s="2">
        <v>2633</v>
      </c>
      <c r="V5" s="2">
        <v>7088</v>
      </c>
      <c r="W5" s="4">
        <v>3936</v>
      </c>
      <c r="AK5" s="2">
        <v>39000</v>
      </c>
    </row>
    <row r="6" spans="1:53" s="12" customFormat="1" ht="12.75" customHeight="1" x14ac:dyDescent="0.2">
      <c r="B6" s="5" t="s">
        <v>96</v>
      </c>
      <c r="G6" s="12">
        <v>110</v>
      </c>
      <c r="H6" s="12">
        <v>156</v>
      </c>
      <c r="I6" s="12">
        <v>168</v>
      </c>
      <c r="K6" s="12">
        <v>154</v>
      </c>
      <c r="L6" s="12">
        <v>137</v>
      </c>
      <c r="M6" s="12">
        <v>135</v>
      </c>
      <c r="S6" s="12">
        <v>66</v>
      </c>
      <c r="T6" s="12">
        <v>89</v>
      </c>
      <c r="U6" s="12">
        <v>106</v>
      </c>
      <c r="V6" s="12">
        <v>119</v>
      </c>
      <c r="W6" s="12">
        <v>73</v>
      </c>
      <c r="AK6" s="12">
        <v>421</v>
      </c>
      <c r="AL6" s="12">
        <v>380</v>
      </c>
    </row>
    <row r="7" spans="1:53" s="12" customFormat="1" ht="12.75" customHeight="1" x14ac:dyDescent="0.2">
      <c r="B7" s="5" t="s">
        <v>95</v>
      </c>
      <c r="G7" s="12">
        <v>10</v>
      </c>
      <c r="H7" s="12">
        <v>11</v>
      </c>
      <c r="I7" s="12">
        <v>10</v>
      </c>
      <c r="K7" s="12">
        <v>9</v>
      </c>
      <c r="L7" s="12">
        <v>2</v>
      </c>
      <c r="M7" s="12">
        <v>15</v>
      </c>
      <c r="S7" s="12">
        <v>4</v>
      </c>
      <c r="T7" s="12">
        <v>11</v>
      </c>
      <c r="U7" s="12">
        <v>10</v>
      </c>
      <c r="V7" s="12">
        <v>13</v>
      </c>
      <c r="W7" s="12">
        <v>4</v>
      </c>
      <c r="AK7" s="12">
        <v>28</v>
      </c>
      <c r="AL7" s="12">
        <v>38</v>
      </c>
    </row>
    <row r="8" spans="1:53" s="31" customFormat="1" ht="12.75" customHeight="1" x14ac:dyDescent="0.2">
      <c r="B8" s="32" t="s">
        <v>213</v>
      </c>
      <c r="W8" s="37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</row>
    <row r="9" spans="1:53" s="2" customFormat="1" ht="12.75" customHeight="1" x14ac:dyDescent="0.2">
      <c r="B9" s="5" t="s">
        <v>93</v>
      </c>
      <c r="F9" s="2">
        <v>8</v>
      </c>
      <c r="G9" s="2">
        <v>7</v>
      </c>
      <c r="H9" s="2">
        <v>9</v>
      </c>
      <c r="I9" s="2">
        <v>15</v>
      </c>
      <c r="J9" s="2">
        <v>11</v>
      </c>
      <c r="K9" s="2">
        <v>3</v>
      </c>
      <c r="L9" s="2">
        <v>12</v>
      </c>
      <c r="M9" s="2">
        <v>12</v>
      </c>
      <c r="N9" s="2">
        <v>13</v>
      </c>
      <c r="O9" s="2">
        <v>17</v>
      </c>
      <c r="P9" s="2">
        <v>12</v>
      </c>
      <c r="Q9" s="2">
        <v>11</v>
      </c>
      <c r="R9" s="2">
        <v>13</v>
      </c>
      <c r="S9" s="2">
        <v>11</v>
      </c>
      <c r="T9" s="2">
        <v>8</v>
      </c>
      <c r="U9" s="2">
        <v>11</v>
      </c>
      <c r="V9" s="2">
        <v>14</v>
      </c>
      <c r="W9" s="4">
        <v>14</v>
      </c>
      <c r="AB9" s="12"/>
      <c r="AC9" s="12"/>
      <c r="AD9" s="12"/>
      <c r="AE9" s="12"/>
      <c r="AF9" s="12"/>
      <c r="AG9" s="12"/>
      <c r="AH9" s="12"/>
      <c r="AI9" s="2">
        <f>+SUM(G9:J9)</f>
        <v>42</v>
      </c>
      <c r="AJ9" s="12">
        <v>40</v>
      </c>
      <c r="AK9" s="12">
        <v>53</v>
      </c>
      <c r="AL9" s="12">
        <v>44</v>
      </c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1:53" s="2" customFormat="1" ht="12.75" customHeight="1" x14ac:dyDescent="0.2">
      <c r="B10" s="5" t="s">
        <v>97</v>
      </c>
      <c r="F10" s="2">
        <v>24</v>
      </c>
      <c r="G10" s="2">
        <v>24</v>
      </c>
      <c r="H10" s="2">
        <v>16</v>
      </c>
      <c r="I10" s="2">
        <v>21</v>
      </c>
      <c r="J10" s="2">
        <v>20</v>
      </c>
      <c r="K10" s="2">
        <v>18</v>
      </c>
      <c r="L10" s="2">
        <v>21</v>
      </c>
      <c r="M10" s="2">
        <v>20</v>
      </c>
      <c r="N10" s="2">
        <v>22</v>
      </c>
      <c r="O10" s="2">
        <v>25</v>
      </c>
      <c r="P10" s="2">
        <v>39</v>
      </c>
      <c r="Q10" s="2">
        <v>32</v>
      </c>
      <c r="R10" s="2">
        <v>29</v>
      </c>
      <c r="S10" s="2">
        <v>20</v>
      </c>
      <c r="T10" s="2">
        <v>32</v>
      </c>
      <c r="U10" s="2">
        <v>38</v>
      </c>
      <c r="V10" s="2">
        <v>39</v>
      </c>
      <c r="W10" s="4">
        <v>25</v>
      </c>
      <c r="AB10" s="12"/>
      <c r="AC10" s="12"/>
      <c r="AD10" s="12"/>
      <c r="AE10" s="12"/>
      <c r="AF10" s="12"/>
      <c r="AG10" s="12"/>
      <c r="AH10" s="12"/>
      <c r="AI10" s="2">
        <f t="shared" ref="AI10:AI14" si="1">+SUM(G10:J10)</f>
        <v>81</v>
      </c>
      <c r="AJ10" s="12">
        <v>81</v>
      </c>
      <c r="AK10" s="12">
        <v>125</v>
      </c>
      <c r="AL10" s="12">
        <v>129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1:53" s="2" customFormat="1" ht="12.75" customHeight="1" x14ac:dyDescent="0.2">
      <c r="B11" s="5" t="s">
        <v>98</v>
      </c>
      <c r="F11" s="2">
        <v>7</v>
      </c>
      <c r="G11" s="2">
        <v>4</v>
      </c>
      <c r="H11" s="2">
        <v>7</v>
      </c>
      <c r="I11" s="2">
        <v>6</v>
      </c>
      <c r="J11" s="2">
        <v>5</v>
      </c>
      <c r="K11" s="2">
        <v>6</v>
      </c>
      <c r="L11" s="2">
        <v>8</v>
      </c>
      <c r="M11" s="2">
        <v>6</v>
      </c>
      <c r="N11" s="2">
        <v>8</v>
      </c>
      <c r="O11" s="2">
        <v>7</v>
      </c>
      <c r="P11" s="2">
        <v>6</v>
      </c>
      <c r="Q11" s="2">
        <v>9</v>
      </c>
      <c r="R11" s="2">
        <v>10</v>
      </c>
      <c r="S11" s="2">
        <v>4</v>
      </c>
      <c r="T11" s="2">
        <v>11</v>
      </c>
      <c r="U11" s="2">
        <v>7</v>
      </c>
      <c r="V11" s="2">
        <v>6</v>
      </c>
      <c r="W11" s="4">
        <v>3</v>
      </c>
      <c r="AB11" s="12"/>
      <c r="AC11" s="12"/>
      <c r="AD11" s="12"/>
      <c r="AE11" s="12"/>
      <c r="AF11" s="12"/>
      <c r="AG11" s="12"/>
      <c r="AH11" s="12"/>
      <c r="AI11" s="2">
        <f t="shared" si="1"/>
        <v>22</v>
      </c>
      <c r="AJ11" s="12">
        <v>28</v>
      </c>
      <c r="AK11" s="12">
        <v>32</v>
      </c>
      <c r="AL11" s="12">
        <v>28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53" s="2" customFormat="1" ht="12.75" customHeight="1" x14ac:dyDescent="0.2">
      <c r="B12" s="5" t="s">
        <v>99</v>
      </c>
      <c r="F12" s="2">
        <v>35</v>
      </c>
      <c r="G12" s="2">
        <v>35</v>
      </c>
      <c r="H12" s="2">
        <v>31</v>
      </c>
      <c r="I12" s="2">
        <v>30</v>
      </c>
      <c r="J12" s="2">
        <v>35</v>
      </c>
      <c r="K12" s="2">
        <v>26</v>
      </c>
      <c r="L12" s="2">
        <v>38</v>
      </c>
      <c r="M12" s="2">
        <v>38</v>
      </c>
      <c r="N12" s="2">
        <v>49</v>
      </c>
      <c r="O12" s="2">
        <v>43</v>
      </c>
      <c r="P12" s="2">
        <v>43</v>
      </c>
      <c r="Q12" s="2">
        <v>44</v>
      </c>
      <c r="R12" s="2">
        <v>54</v>
      </c>
      <c r="S12" s="2">
        <v>25</v>
      </c>
      <c r="T12" s="2">
        <v>33</v>
      </c>
      <c r="U12" s="2">
        <v>42</v>
      </c>
      <c r="V12" s="2">
        <v>52</v>
      </c>
      <c r="W12" s="4">
        <v>22</v>
      </c>
      <c r="AB12" s="12"/>
      <c r="AC12" s="12"/>
      <c r="AD12" s="12"/>
      <c r="AE12" s="12"/>
      <c r="AF12" s="12"/>
      <c r="AG12" s="12"/>
      <c r="AH12" s="12"/>
      <c r="AI12" s="2">
        <f t="shared" si="1"/>
        <v>131</v>
      </c>
      <c r="AJ12" s="12">
        <v>151</v>
      </c>
      <c r="AK12" s="12">
        <v>184</v>
      </c>
      <c r="AL12" s="12">
        <v>152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53" s="2" customFormat="1" ht="12.75" customHeight="1" x14ac:dyDescent="0.2">
      <c r="B13" s="5" t="s">
        <v>100</v>
      </c>
      <c r="F13" s="2">
        <v>6</v>
      </c>
      <c r="G13" s="2">
        <v>6</v>
      </c>
      <c r="H13" s="2">
        <v>9</v>
      </c>
      <c r="I13" s="2">
        <v>7</v>
      </c>
      <c r="J13" s="2">
        <v>11</v>
      </c>
      <c r="K13" s="2">
        <v>9</v>
      </c>
      <c r="L13" s="2">
        <v>12</v>
      </c>
      <c r="M13" s="2">
        <v>10</v>
      </c>
      <c r="N13" s="2">
        <v>14</v>
      </c>
      <c r="O13" s="2">
        <v>8</v>
      </c>
      <c r="P13" s="2">
        <v>13</v>
      </c>
      <c r="Q13" s="2">
        <v>16</v>
      </c>
      <c r="R13" s="2">
        <v>18</v>
      </c>
      <c r="S13" s="2">
        <v>10</v>
      </c>
      <c r="T13" s="2">
        <v>16</v>
      </c>
      <c r="U13" s="2">
        <v>18</v>
      </c>
      <c r="V13" s="2">
        <v>21</v>
      </c>
      <c r="W13" s="4">
        <v>13</v>
      </c>
      <c r="AB13" s="12"/>
      <c r="AC13" s="12"/>
      <c r="AD13" s="12"/>
      <c r="AE13" s="12"/>
      <c r="AF13" s="12"/>
      <c r="AG13" s="12"/>
      <c r="AH13" s="12"/>
      <c r="AI13" s="2">
        <f t="shared" si="1"/>
        <v>33</v>
      </c>
      <c r="AJ13" s="12">
        <v>45</v>
      </c>
      <c r="AK13" s="12">
        <v>55</v>
      </c>
      <c r="AL13" s="12">
        <v>65</v>
      </c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53" s="2" customFormat="1" ht="12.75" customHeight="1" x14ac:dyDescent="0.2">
      <c r="B14" s="5" t="s">
        <v>94</v>
      </c>
      <c r="F14" s="2">
        <f>+SUM(F9:F13)</f>
        <v>80</v>
      </c>
      <c r="G14" s="2">
        <f>+SUM(G9:G13)</f>
        <v>76</v>
      </c>
      <c r="H14" s="2">
        <f t="shared" ref="H14:W14" si="2">+SUM(H9:H13)</f>
        <v>72</v>
      </c>
      <c r="I14" s="2">
        <f t="shared" si="2"/>
        <v>79</v>
      </c>
      <c r="J14" s="2">
        <f t="shared" si="2"/>
        <v>82</v>
      </c>
      <c r="K14" s="2">
        <f t="shared" si="2"/>
        <v>62</v>
      </c>
      <c r="L14" s="2">
        <f t="shared" si="2"/>
        <v>91</v>
      </c>
      <c r="M14" s="2">
        <f t="shared" si="2"/>
        <v>86</v>
      </c>
      <c r="N14" s="2">
        <f t="shared" si="2"/>
        <v>106</v>
      </c>
      <c r="O14" s="2">
        <f t="shared" si="2"/>
        <v>100</v>
      </c>
      <c r="P14" s="2">
        <f t="shared" si="2"/>
        <v>113</v>
      </c>
      <c r="Q14" s="2">
        <f t="shared" si="2"/>
        <v>112</v>
      </c>
      <c r="R14" s="2">
        <f t="shared" si="2"/>
        <v>124</v>
      </c>
      <c r="S14" s="2">
        <f t="shared" si="2"/>
        <v>70</v>
      </c>
      <c r="T14" s="2">
        <f t="shared" si="2"/>
        <v>100</v>
      </c>
      <c r="U14" s="2">
        <f t="shared" si="2"/>
        <v>116</v>
      </c>
      <c r="V14" s="2">
        <f t="shared" si="2"/>
        <v>132</v>
      </c>
      <c r="W14" s="2">
        <f t="shared" si="2"/>
        <v>77</v>
      </c>
      <c r="AB14" s="12"/>
      <c r="AC14" s="12"/>
      <c r="AD14" s="12"/>
      <c r="AE14" s="12"/>
      <c r="AF14" s="12"/>
      <c r="AG14" s="12"/>
      <c r="AH14" s="12"/>
      <c r="AI14" s="2">
        <f t="shared" si="1"/>
        <v>309</v>
      </c>
      <c r="AJ14" s="12">
        <f>+SUM(AJ9:AJ13)</f>
        <v>345</v>
      </c>
      <c r="AK14" s="12">
        <f>+SUM(AK9:AK13)</f>
        <v>449</v>
      </c>
      <c r="AL14" s="12">
        <f>+SUM(AL9:AL13)</f>
        <v>418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53" s="31" customFormat="1" ht="12.75" customHeight="1" x14ac:dyDescent="0.2">
      <c r="B15" s="32" t="s">
        <v>215</v>
      </c>
      <c r="W15" s="37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</row>
    <row r="16" spans="1:53" s="16" customFormat="1" ht="12.75" customHeight="1" x14ac:dyDescent="0.2">
      <c r="B16" s="14" t="s">
        <v>93</v>
      </c>
      <c r="F16" s="2">
        <f t="shared" ref="F16:U16" si="3">+F29/F9</f>
        <v>143.92349999999999</v>
      </c>
      <c r="G16" s="2">
        <f t="shared" si="3"/>
        <v>151.69371428571429</v>
      </c>
      <c r="H16" s="2">
        <f t="shared" si="3"/>
        <v>121.92999999999999</v>
      </c>
      <c r="I16" s="2">
        <f t="shared" si="3"/>
        <v>147.99960000000002</v>
      </c>
      <c r="J16" s="2">
        <f t="shared" si="3"/>
        <v>144.82472727272727</v>
      </c>
      <c r="K16" s="2">
        <f t="shared" si="3"/>
        <v>198.22400000000002</v>
      </c>
      <c r="L16" s="2">
        <f t="shared" si="3"/>
        <v>165.61999999999998</v>
      </c>
      <c r="M16" s="2">
        <f t="shared" si="3"/>
        <v>180.82474999999999</v>
      </c>
      <c r="N16" s="2">
        <f t="shared" si="3"/>
        <v>178.9593076923077</v>
      </c>
      <c r="O16" s="2">
        <f t="shared" si="3"/>
        <v>169.68070588235295</v>
      </c>
      <c r="P16" s="2">
        <f t="shared" si="3"/>
        <v>172.85475</v>
      </c>
      <c r="Q16" s="2">
        <f t="shared" si="3"/>
        <v>168.89727272727271</v>
      </c>
      <c r="R16" s="2">
        <f t="shared" si="3"/>
        <v>174.84615384615384</v>
      </c>
      <c r="S16" s="2">
        <f t="shared" si="3"/>
        <v>165.84672727272735</v>
      </c>
      <c r="T16" s="2">
        <f t="shared" si="3"/>
        <v>184.48487499999999</v>
      </c>
      <c r="U16" s="2">
        <f t="shared" si="3"/>
        <v>188.55454545454543</v>
      </c>
      <c r="V16" s="2">
        <f>+V29/V9</f>
        <v>213.477</v>
      </c>
      <c r="W16" s="2">
        <f>+W29/W9</f>
        <v>229.61600000000001</v>
      </c>
      <c r="AB16" s="17"/>
      <c r="AC16" s="17"/>
      <c r="AD16" s="17"/>
      <c r="AE16" s="17"/>
      <c r="AF16" s="17"/>
      <c r="AG16" s="17"/>
      <c r="AH16" s="17"/>
      <c r="AI16" s="2">
        <f t="shared" ref="AI16:AL20" si="4">+AI29/AI9</f>
        <v>141.404</v>
      </c>
      <c r="AJ16" s="2">
        <f t="shared" si="4"/>
        <v>177.44845000000001</v>
      </c>
      <c r="AK16" s="2">
        <f t="shared" si="4"/>
        <v>173.85305660377358</v>
      </c>
      <c r="AL16" s="2">
        <f t="shared" si="4"/>
        <v>188.00240909090908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2:48" s="16" customFormat="1" ht="12.75" customHeight="1" x14ac:dyDescent="0.2">
      <c r="B17" s="14" t="s">
        <v>97</v>
      </c>
      <c r="F17" s="2">
        <f t="shared" ref="F17:V17" si="5">+F30/F10</f>
        <v>59.968125000000008</v>
      </c>
      <c r="G17" s="2">
        <f t="shared" si="5"/>
        <v>57.762999999999998</v>
      </c>
      <c r="H17" s="2">
        <f t="shared" si="5"/>
        <v>51.820250000000001</v>
      </c>
      <c r="I17" s="2">
        <f t="shared" si="5"/>
        <v>62.64533333333334</v>
      </c>
      <c r="J17" s="2">
        <f t="shared" si="5"/>
        <v>60.605999999999995</v>
      </c>
      <c r="K17" s="2">
        <f t="shared" si="5"/>
        <v>59.721333333333327</v>
      </c>
      <c r="L17" s="2">
        <f t="shared" si="5"/>
        <v>65.064999999999998</v>
      </c>
      <c r="M17" s="2">
        <f t="shared" si="5"/>
        <v>65.947849999999988</v>
      </c>
      <c r="N17" s="2">
        <f t="shared" si="5"/>
        <v>66.902227272727274</v>
      </c>
      <c r="O17" s="2">
        <f t="shared" si="5"/>
        <v>64.101600000000005</v>
      </c>
      <c r="P17" s="2">
        <f t="shared" si="5"/>
        <v>70.435615384615389</v>
      </c>
      <c r="Q17" s="2">
        <f t="shared" si="5"/>
        <v>79.62299999999999</v>
      </c>
      <c r="R17" s="2">
        <f t="shared" si="5"/>
        <v>74.460344827586198</v>
      </c>
      <c r="S17" s="2">
        <f t="shared" si="5"/>
        <v>77.335050000000038</v>
      </c>
      <c r="T17" s="2">
        <f t="shared" si="5"/>
        <v>74.389062499999994</v>
      </c>
      <c r="U17" s="2">
        <f t="shared" si="5"/>
        <v>74.854736842105268</v>
      </c>
      <c r="V17" s="2">
        <f t="shared" si="5"/>
        <v>74.808179487179487</v>
      </c>
      <c r="W17" s="2">
        <f t="shared" ref="W17" si="6">+W30/W10</f>
        <v>75.77328</v>
      </c>
      <c r="AB17" s="17"/>
      <c r="AC17" s="17"/>
      <c r="AD17" s="17"/>
      <c r="AE17" s="17"/>
      <c r="AF17" s="17"/>
      <c r="AG17" s="17"/>
      <c r="AH17" s="17"/>
      <c r="AI17" s="2">
        <f t="shared" si="4"/>
        <v>59.836345679012354</v>
      </c>
      <c r="AJ17" s="2">
        <f t="shared" si="4"/>
        <v>64.769160493827158</v>
      </c>
      <c r="AK17" s="2">
        <f t="shared" si="4"/>
        <v>71.958607999999998</v>
      </c>
      <c r="AL17" s="2">
        <f t="shared" si="4"/>
        <v>74.249829457364342</v>
      </c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2:48" s="16" customFormat="1" ht="12.75" customHeight="1" x14ac:dyDescent="0.2">
      <c r="B18" s="14" t="s">
        <v>98</v>
      </c>
      <c r="F18" s="2">
        <f t="shared" ref="F18:V18" si="7">+F31/F11</f>
        <v>18.276000000000003</v>
      </c>
      <c r="G18" s="2">
        <f t="shared" si="7"/>
        <v>14.747999999999999</v>
      </c>
      <c r="H18" s="2">
        <f t="shared" si="7"/>
        <v>17.418571428571429</v>
      </c>
      <c r="I18" s="2">
        <f t="shared" si="7"/>
        <v>20.555500000000002</v>
      </c>
      <c r="J18" s="2">
        <f t="shared" si="7"/>
        <v>20.779199999999996</v>
      </c>
      <c r="K18" s="2">
        <f t="shared" si="7"/>
        <v>22.871999999999996</v>
      </c>
      <c r="L18" s="2">
        <f t="shared" si="7"/>
        <v>20.702500000000001</v>
      </c>
      <c r="M18" s="2">
        <f t="shared" si="7"/>
        <v>21.273499999999999</v>
      </c>
      <c r="N18" s="2">
        <f t="shared" si="7"/>
        <v>23.7395</v>
      </c>
      <c r="O18" s="2">
        <f t="shared" si="7"/>
        <v>22.893428571428569</v>
      </c>
      <c r="P18" s="2">
        <f t="shared" si="7"/>
        <v>18.687000000000001</v>
      </c>
      <c r="Q18" s="2">
        <f t="shared" si="7"/>
        <v>23.591999999999999</v>
      </c>
      <c r="R18" s="2">
        <f t="shared" si="7"/>
        <v>28.412500000000001</v>
      </c>
      <c r="S18" s="2">
        <f t="shared" si="7"/>
        <v>29.744250000000008</v>
      </c>
      <c r="T18" s="2">
        <f t="shared" si="7"/>
        <v>30.296636363636367</v>
      </c>
      <c r="U18" s="2">
        <f t="shared" si="7"/>
        <v>25.397142857142857</v>
      </c>
      <c r="V18" s="2">
        <f t="shared" si="7"/>
        <v>23.719666666666665</v>
      </c>
      <c r="W18" s="2">
        <f t="shared" ref="W18" si="8">+W31/W11</f>
        <v>38.269333333333329</v>
      </c>
      <c r="AB18" s="17"/>
      <c r="AC18" s="17"/>
      <c r="AD18" s="17"/>
      <c r="AE18" s="17"/>
      <c r="AF18" s="17"/>
      <c r="AG18" s="17"/>
      <c r="AH18" s="17"/>
      <c r="AI18" s="2">
        <f t="shared" si="4"/>
        <v>26.374727272727274</v>
      </c>
      <c r="AJ18" s="2">
        <f t="shared" si="4"/>
        <v>22.043285714285712</v>
      </c>
      <c r="AK18" s="2">
        <f t="shared" si="4"/>
        <v>27.423249999999999</v>
      </c>
      <c r="AL18" s="2">
        <f t="shared" si="4"/>
        <v>31.098142857142857</v>
      </c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2:48" s="16" customFormat="1" ht="12.75" customHeight="1" x14ac:dyDescent="0.2">
      <c r="B19" s="14" t="s">
        <v>99</v>
      </c>
      <c r="F19" s="2">
        <f t="shared" ref="F19:V19" si="9">+F32/F12</f>
        <v>10.051800000000002</v>
      </c>
      <c r="G19" s="2">
        <f t="shared" si="9"/>
        <v>9.2701714285714285</v>
      </c>
      <c r="H19" s="2">
        <f t="shared" si="9"/>
        <v>8.6530967741935481</v>
      </c>
      <c r="I19" s="2">
        <f t="shared" si="9"/>
        <v>9.5925666666666682</v>
      </c>
      <c r="J19" s="2">
        <f t="shared" si="9"/>
        <v>9.894857142857143</v>
      </c>
      <c r="K19" s="2">
        <f t="shared" si="9"/>
        <v>10.556307692307691</v>
      </c>
      <c r="L19" s="2">
        <f t="shared" si="9"/>
        <v>10.896052631578948</v>
      </c>
      <c r="M19" s="2">
        <f t="shared" si="9"/>
        <v>11.196578947368423</v>
      </c>
      <c r="N19" s="2">
        <f t="shared" si="9"/>
        <v>11.627510204081631</v>
      </c>
      <c r="O19" s="2">
        <f t="shared" si="9"/>
        <v>11.180511627906977</v>
      </c>
      <c r="P19" s="2">
        <f t="shared" si="9"/>
        <v>11.733697674418606</v>
      </c>
      <c r="Q19" s="2">
        <f t="shared" si="9"/>
        <v>12.064090909090909</v>
      </c>
      <c r="R19" s="2">
        <f t="shared" si="9"/>
        <v>12.627777777777778</v>
      </c>
      <c r="S19" s="2">
        <f t="shared" si="9"/>
        <v>12.690880000000003</v>
      </c>
      <c r="T19" s="2">
        <f t="shared" si="9"/>
        <v>12.984272727272725</v>
      </c>
      <c r="U19" s="2">
        <f t="shared" si="9"/>
        <v>14.109523809523811</v>
      </c>
      <c r="V19" s="2">
        <f t="shared" si="9"/>
        <v>12.315980769230768</v>
      </c>
      <c r="W19" s="2">
        <f t="shared" ref="W19" si="10">+W32/W12</f>
        <v>13.046363636363635</v>
      </c>
      <c r="AB19" s="17"/>
      <c r="AC19" s="17"/>
      <c r="AD19" s="17"/>
      <c r="AE19" s="17"/>
      <c r="AF19" s="17"/>
      <c r="AG19" s="17"/>
      <c r="AH19" s="17"/>
      <c r="AI19" s="2">
        <f t="shared" si="4"/>
        <v>11.46418320610687</v>
      </c>
      <c r="AJ19" s="2">
        <f t="shared" si="4"/>
        <v>11.240615894039735</v>
      </c>
      <c r="AK19" s="2">
        <f t="shared" si="4"/>
        <v>11.923152173913044</v>
      </c>
      <c r="AL19" s="2">
        <f t="shared" si="4"/>
        <v>12.889361842105263</v>
      </c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2:48" s="16" customFormat="1" ht="12.75" customHeight="1" x14ac:dyDescent="0.2">
      <c r="B20" s="14" t="s">
        <v>100</v>
      </c>
      <c r="F20" s="2">
        <f t="shared" ref="F20:V20" si="11">+F33/F13</f>
        <v>5.3305000000000007</v>
      </c>
      <c r="G20" s="2">
        <f t="shared" si="11"/>
        <v>4.9159999999999995</v>
      </c>
      <c r="H20" s="2">
        <f t="shared" si="11"/>
        <v>2.7095555555555553</v>
      </c>
      <c r="I20" s="2">
        <f t="shared" si="11"/>
        <v>5.8730000000000002</v>
      </c>
      <c r="J20" s="2">
        <f t="shared" si="11"/>
        <v>3.1483636363636363</v>
      </c>
      <c r="K20" s="2">
        <f t="shared" si="11"/>
        <v>5.0826666666666664</v>
      </c>
      <c r="L20" s="2">
        <f t="shared" si="11"/>
        <v>3.4504166666666669</v>
      </c>
      <c r="M20" s="2">
        <f t="shared" si="11"/>
        <v>4.2546999999999997</v>
      </c>
      <c r="N20" s="2">
        <f t="shared" si="11"/>
        <v>3.3913571428571427</v>
      </c>
      <c r="O20" s="2">
        <f t="shared" si="11"/>
        <v>6.6772500000000008</v>
      </c>
      <c r="P20" s="2">
        <f t="shared" si="11"/>
        <v>4.3123846153846159</v>
      </c>
      <c r="Q20" s="2">
        <f t="shared" si="11"/>
        <v>3.317625</v>
      </c>
      <c r="R20" s="2">
        <f t="shared" si="11"/>
        <v>6.3138888888888891</v>
      </c>
      <c r="S20" s="2">
        <f t="shared" si="11"/>
        <v>3.9659000000000013</v>
      </c>
      <c r="T20" s="2">
        <f t="shared" si="11"/>
        <v>5.9511249999999993</v>
      </c>
      <c r="U20" s="2">
        <f t="shared" si="11"/>
        <v>6.5844444444444443</v>
      </c>
      <c r="V20" s="2">
        <f t="shared" si="11"/>
        <v>6.7770476190476181</v>
      </c>
      <c r="W20" s="2">
        <f t="shared" ref="W20" si="12">+W33/W13</f>
        <v>4.4156923076923071</v>
      </c>
      <c r="AB20" s="17"/>
      <c r="AC20" s="17"/>
      <c r="AD20" s="17"/>
      <c r="AE20" s="17"/>
      <c r="AF20" s="17"/>
      <c r="AG20" s="17"/>
      <c r="AH20" s="17"/>
      <c r="AI20" s="2">
        <f t="shared" si="4"/>
        <v>5.1715151515151518</v>
      </c>
      <c r="AJ20" s="2">
        <f t="shared" si="4"/>
        <v>3.4289555555555555</v>
      </c>
      <c r="AK20" s="2">
        <f t="shared" si="4"/>
        <v>3.9888363636363637</v>
      </c>
      <c r="AL20" s="2">
        <f t="shared" si="4"/>
        <v>6.6980615384615385</v>
      </c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2:48" s="31" customFormat="1" ht="12.75" customHeight="1" x14ac:dyDescent="0.2">
      <c r="B21" s="32" t="s">
        <v>214</v>
      </c>
      <c r="W21" s="37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</row>
    <row r="22" spans="2:48" s="15" customFormat="1" ht="12.75" customHeight="1" x14ac:dyDescent="0.2">
      <c r="B22" s="14" t="s">
        <v>207</v>
      </c>
      <c r="F22" s="15">
        <v>0.36</v>
      </c>
      <c r="G22" s="15">
        <v>0.36</v>
      </c>
      <c r="H22" s="15">
        <v>0.45</v>
      </c>
      <c r="I22" s="15">
        <v>0.54</v>
      </c>
      <c r="J22" s="15">
        <v>0.46</v>
      </c>
      <c r="K22" s="15">
        <v>0.26</v>
      </c>
      <c r="L22" s="15">
        <v>0.48</v>
      </c>
      <c r="M22" s="15">
        <v>0.51</v>
      </c>
      <c r="N22" s="15">
        <v>0.49</v>
      </c>
      <c r="O22" s="15">
        <v>0.54</v>
      </c>
      <c r="P22" s="15">
        <v>0.37</v>
      </c>
      <c r="Q22" s="15">
        <v>0.35</v>
      </c>
      <c r="R22" s="15">
        <v>0.4</v>
      </c>
      <c r="S22" s="15">
        <v>0.46</v>
      </c>
      <c r="T22" s="15">
        <v>0.31</v>
      </c>
      <c r="U22" s="15">
        <v>0.35</v>
      </c>
      <c r="V22" s="15">
        <v>0.42</v>
      </c>
      <c r="W22" s="10">
        <v>0.56000000000000005</v>
      </c>
      <c r="AI22" s="15">
        <f>+AVERAGE(K22:N22)</f>
        <v>0.435</v>
      </c>
      <c r="AJ22" s="15">
        <v>0.46</v>
      </c>
      <c r="AK22" s="15">
        <v>0.42</v>
      </c>
      <c r="AL22" s="15">
        <v>0.38</v>
      </c>
    </row>
    <row r="23" spans="2:48" s="15" customFormat="1" ht="12.75" customHeight="1" x14ac:dyDescent="0.2">
      <c r="B23" s="14" t="s">
        <v>208</v>
      </c>
      <c r="F23" s="15">
        <v>0.45</v>
      </c>
      <c r="G23" s="15">
        <v>0.47</v>
      </c>
      <c r="H23" s="15">
        <v>0.34</v>
      </c>
      <c r="I23" s="15">
        <v>0.32</v>
      </c>
      <c r="J23" s="15">
        <v>0.35</v>
      </c>
      <c r="K23" s="15">
        <v>0.47</v>
      </c>
      <c r="L23" s="15">
        <v>0.33</v>
      </c>
      <c r="M23" s="15">
        <v>0.31</v>
      </c>
      <c r="N23" s="15">
        <v>0.31</v>
      </c>
      <c r="O23" s="15">
        <v>0.3</v>
      </c>
      <c r="P23" s="15">
        <v>0.49</v>
      </c>
      <c r="Q23" s="15">
        <v>0.48</v>
      </c>
      <c r="R23" s="15">
        <v>0.38</v>
      </c>
      <c r="S23" s="15">
        <v>0.39</v>
      </c>
      <c r="T23" s="15">
        <v>0.5</v>
      </c>
      <c r="U23" s="15">
        <v>0.48</v>
      </c>
      <c r="V23" s="15">
        <v>0.41</v>
      </c>
      <c r="W23" s="10">
        <v>0.33</v>
      </c>
      <c r="AI23" s="15">
        <f t="shared" ref="AI23:AI27" si="13">+AVERAGE(K23:N23)</f>
        <v>0.35500000000000004</v>
      </c>
      <c r="AJ23" s="15">
        <v>0.34</v>
      </c>
      <c r="AK23" s="15">
        <v>0.41</v>
      </c>
      <c r="AL23" s="15">
        <v>0.44</v>
      </c>
    </row>
    <row r="24" spans="2:48" s="15" customFormat="1" ht="12.75" customHeight="1" x14ac:dyDescent="0.2">
      <c r="B24" s="14" t="s">
        <v>209</v>
      </c>
      <c r="F24" s="15">
        <v>0.04</v>
      </c>
      <c r="G24" s="15">
        <v>0.02</v>
      </c>
      <c r="H24" s="15">
        <v>0.05</v>
      </c>
      <c r="I24" s="15">
        <v>0.03</v>
      </c>
      <c r="J24" s="15">
        <v>0.03</v>
      </c>
      <c r="K24" s="15">
        <v>0.06</v>
      </c>
      <c r="L24" s="15">
        <v>0.04</v>
      </c>
      <c r="M24" s="15">
        <v>0.03</v>
      </c>
      <c r="N24" s="15">
        <v>0.04</v>
      </c>
      <c r="O24" s="15">
        <v>0.03</v>
      </c>
      <c r="P24" s="15">
        <v>0.02</v>
      </c>
      <c r="Q24" s="15">
        <v>0.04</v>
      </c>
      <c r="R24" s="15">
        <v>0.05</v>
      </c>
      <c r="S24" s="15">
        <v>0.03</v>
      </c>
      <c r="T24" s="15">
        <v>7.0000000000000007E-2</v>
      </c>
      <c r="U24" s="15">
        <v>0.03</v>
      </c>
      <c r="V24" s="15">
        <v>0.02</v>
      </c>
      <c r="W24" s="10">
        <v>0.02</v>
      </c>
      <c r="AI24" s="15">
        <f t="shared" si="13"/>
        <v>4.2500000000000003E-2</v>
      </c>
      <c r="AJ24" s="15">
        <v>0.04</v>
      </c>
      <c r="AK24" s="15">
        <v>0.04</v>
      </c>
      <c r="AL24" s="15">
        <v>0.04</v>
      </c>
    </row>
    <row r="25" spans="2:48" s="15" customFormat="1" ht="12.75" customHeight="1" x14ac:dyDescent="0.2">
      <c r="B25" s="14" t="s">
        <v>210</v>
      </c>
      <c r="F25" s="15">
        <v>0.11</v>
      </c>
      <c r="G25" s="15">
        <v>0.11</v>
      </c>
      <c r="H25" s="15">
        <v>0.11</v>
      </c>
      <c r="I25" s="15">
        <v>7.0000000000000007E-2</v>
      </c>
      <c r="J25" s="15">
        <v>0.1</v>
      </c>
      <c r="K25" s="15">
        <v>0.12</v>
      </c>
      <c r="L25" s="15">
        <v>0.1</v>
      </c>
      <c r="M25" s="15">
        <v>0.1</v>
      </c>
      <c r="N25" s="15">
        <v>0.12</v>
      </c>
      <c r="O25" s="15">
        <v>0.09</v>
      </c>
      <c r="P25" s="15">
        <v>0.09</v>
      </c>
      <c r="Q25" s="15">
        <v>0.1</v>
      </c>
      <c r="R25" s="15">
        <v>0.12</v>
      </c>
      <c r="S25" s="15">
        <v>0.08</v>
      </c>
      <c r="T25" s="15">
        <v>0.09</v>
      </c>
      <c r="U25" s="15">
        <v>0.1</v>
      </c>
      <c r="V25" s="15">
        <v>0.09</v>
      </c>
      <c r="W25" s="10">
        <v>0.05</v>
      </c>
      <c r="AI25" s="15">
        <f t="shared" si="13"/>
        <v>0.11</v>
      </c>
      <c r="AJ25" s="15">
        <v>0.11</v>
      </c>
      <c r="AK25" s="15">
        <v>0.1</v>
      </c>
      <c r="AL25" s="15">
        <v>0.09</v>
      </c>
    </row>
    <row r="26" spans="2:48" s="15" customFormat="1" ht="12.75" customHeight="1" x14ac:dyDescent="0.2">
      <c r="B26" s="14" t="s">
        <v>211</v>
      </c>
      <c r="F26" s="15">
        <v>0.01</v>
      </c>
      <c r="G26" s="15">
        <v>0.01</v>
      </c>
      <c r="H26" s="15">
        <v>0.01</v>
      </c>
      <c r="I26" s="15">
        <v>0.01</v>
      </c>
      <c r="J26" s="15">
        <v>0.01</v>
      </c>
      <c r="K26" s="15">
        <v>0.02</v>
      </c>
      <c r="L26" s="15">
        <v>0.01</v>
      </c>
      <c r="M26" s="15">
        <v>0.01</v>
      </c>
      <c r="N26" s="15">
        <v>0.01</v>
      </c>
      <c r="O26" s="15">
        <v>0.01</v>
      </c>
      <c r="P26" s="15">
        <v>0.01</v>
      </c>
      <c r="Q26" s="15">
        <v>0.01</v>
      </c>
      <c r="R26" s="15">
        <v>0.02</v>
      </c>
      <c r="S26" s="15">
        <v>0.01</v>
      </c>
      <c r="T26" s="15">
        <v>0.02</v>
      </c>
      <c r="U26" s="15">
        <v>0.02</v>
      </c>
      <c r="V26" s="15">
        <v>0.02</v>
      </c>
      <c r="W26" s="10">
        <v>0.01</v>
      </c>
      <c r="AI26" s="15">
        <f t="shared" si="13"/>
        <v>1.2500000000000001E-2</v>
      </c>
      <c r="AJ26" s="15">
        <v>0.01</v>
      </c>
      <c r="AK26" s="15">
        <v>0.01</v>
      </c>
      <c r="AL26" s="15">
        <v>0.02</v>
      </c>
    </row>
    <row r="27" spans="2:48" s="15" customFormat="1" ht="12.75" customHeight="1" x14ac:dyDescent="0.2">
      <c r="B27" s="14" t="s">
        <v>212</v>
      </c>
      <c r="F27" s="15">
        <v>0.03</v>
      </c>
      <c r="G27" s="15">
        <v>0.03</v>
      </c>
      <c r="H27" s="15">
        <v>0.04</v>
      </c>
      <c r="I27" s="15">
        <v>0.03</v>
      </c>
      <c r="J27" s="15">
        <v>0.05</v>
      </c>
      <c r="K27" s="15">
        <v>7.0000000000000007E-2</v>
      </c>
      <c r="L27" s="15">
        <v>0.04</v>
      </c>
      <c r="M27" s="15">
        <v>0.04</v>
      </c>
      <c r="N27" s="15">
        <v>0.03</v>
      </c>
      <c r="O27" s="15">
        <v>0.03</v>
      </c>
      <c r="P27" s="15">
        <v>0.02</v>
      </c>
      <c r="Q27" s="15">
        <v>0.02</v>
      </c>
      <c r="R27" s="15">
        <v>0.03</v>
      </c>
      <c r="S27" s="15">
        <v>0.03</v>
      </c>
      <c r="T27" s="15">
        <v>0.01</v>
      </c>
      <c r="U27" s="15">
        <v>0.02</v>
      </c>
      <c r="V27" s="15">
        <v>0.04</v>
      </c>
      <c r="W27" s="10">
        <v>0.03</v>
      </c>
      <c r="AI27" s="15">
        <f t="shared" si="13"/>
        <v>4.5000000000000005E-2</v>
      </c>
      <c r="AJ27" s="15">
        <v>0.04</v>
      </c>
      <c r="AK27" s="15">
        <v>0.02</v>
      </c>
      <c r="AL27" s="15">
        <v>0.03</v>
      </c>
    </row>
    <row r="28" spans="2:48" s="31" customFormat="1" x14ac:dyDescent="0.2">
      <c r="B28" s="32" t="s">
        <v>216</v>
      </c>
      <c r="W28" s="37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</row>
    <row r="29" spans="2:48" s="2" customFormat="1" x14ac:dyDescent="0.2">
      <c r="B29" s="13" t="s">
        <v>93</v>
      </c>
      <c r="F29" s="2">
        <f t="shared" ref="F29:U29" si="14">+F$42*F22</f>
        <v>1151.3879999999999</v>
      </c>
      <c r="G29" s="2">
        <f t="shared" si="14"/>
        <v>1061.856</v>
      </c>
      <c r="H29" s="2">
        <f t="shared" si="14"/>
        <v>1097.3699999999999</v>
      </c>
      <c r="I29" s="2">
        <f t="shared" si="14"/>
        <v>2219.9940000000001</v>
      </c>
      <c r="J29" s="2">
        <f t="shared" si="14"/>
        <v>1593.0719999999999</v>
      </c>
      <c r="K29" s="2">
        <f t="shared" si="14"/>
        <v>594.67200000000003</v>
      </c>
      <c r="L29" s="2">
        <f t="shared" si="14"/>
        <v>1987.4399999999998</v>
      </c>
      <c r="M29" s="2">
        <f t="shared" si="14"/>
        <v>2169.8969999999999</v>
      </c>
      <c r="N29" s="2">
        <f t="shared" si="14"/>
        <v>2326.471</v>
      </c>
      <c r="O29" s="2">
        <f t="shared" si="14"/>
        <v>2884.5720000000001</v>
      </c>
      <c r="P29" s="2">
        <f t="shared" si="14"/>
        <v>2074.2570000000001</v>
      </c>
      <c r="Q29" s="2">
        <f t="shared" si="14"/>
        <v>1857.87</v>
      </c>
      <c r="R29" s="2">
        <f t="shared" si="14"/>
        <v>2273</v>
      </c>
      <c r="S29" s="2">
        <f t="shared" si="14"/>
        <v>1824.3140000000008</v>
      </c>
      <c r="T29" s="2">
        <f t="shared" si="14"/>
        <v>1475.8789999999999</v>
      </c>
      <c r="U29" s="2">
        <f t="shared" si="14"/>
        <v>2074.1</v>
      </c>
      <c r="V29" s="2">
        <f>+V$42*V22</f>
        <v>2988.6779999999999</v>
      </c>
      <c r="W29" s="2">
        <f>+W$42*W22</f>
        <v>3214.6240000000003</v>
      </c>
      <c r="AI29" s="2">
        <f t="shared" ref="AI29:AL34" si="15">+AI$42*AI22</f>
        <v>5938.9679999999998</v>
      </c>
      <c r="AJ29" s="2">
        <f t="shared" si="15"/>
        <v>7097.9380000000001</v>
      </c>
      <c r="AK29" s="2">
        <f t="shared" si="15"/>
        <v>9214.2119999999995</v>
      </c>
      <c r="AL29" s="2">
        <f t="shared" si="15"/>
        <v>8272.1059999999998</v>
      </c>
    </row>
    <row r="30" spans="2:48" s="2" customFormat="1" x14ac:dyDescent="0.2">
      <c r="B30" s="13" t="s">
        <v>97</v>
      </c>
      <c r="F30" s="2">
        <f t="shared" ref="F30:V30" si="16">+F$42*F23</f>
        <v>1439.2350000000001</v>
      </c>
      <c r="G30" s="2">
        <f t="shared" si="16"/>
        <v>1386.3119999999999</v>
      </c>
      <c r="H30" s="2">
        <f t="shared" si="16"/>
        <v>829.12400000000002</v>
      </c>
      <c r="I30" s="2">
        <f t="shared" si="16"/>
        <v>1315.5520000000001</v>
      </c>
      <c r="J30" s="2">
        <f t="shared" si="16"/>
        <v>1212.1199999999999</v>
      </c>
      <c r="K30" s="2">
        <f t="shared" si="16"/>
        <v>1074.9839999999999</v>
      </c>
      <c r="L30" s="2">
        <f t="shared" si="16"/>
        <v>1366.365</v>
      </c>
      <c r="M30" s="2">
        <f t="shared" si="16"/>
        <v>1318.9569999999999</v>
      </c>
      <c r="N30" s="2">
        <f t="shared" si="16"/>
        <v>1471.8489999999999</v>
      </c>
      <c r="O30" s="2">
        <f t="shared" si="16"/>
        <v>1602.54</v>
      </c>
      <c r="P30" s="2">
        <f t="shared" si="16"/>
        <v>2746.989</v>
      </c>
      <c r="Q30" s="2">
        <f t="shared" si="16"/>
        <v>2547.9359999999997</v>
      </c>
      <c r="R30" s="2">
        <f t="shared" si="16"/>
        <v>2159.35</v>
      </c>
      <c r="S30" s="2">
        <f t="shared" si="16"/>
        <v>1546.7010000000007</v>
      </c>
      <c r="T30" s="2">
        <f t="shared" si="16"/>
        <v>2380.4499999999998</v>
      </c>
      <c r="U30" s="2">
        <f t="shared" si="16"/>
        <v>2844.48</v>
      </c>
      <c r="V30" s="2">
        <f t="shared" si="16"/>
        <v>2917.5189999999998</v>
      </c>
      <c r="W30" s="2">
        <f t="shared" ref="W30" si="17">+W$42*W23</f>
        <v>1894.3319999999999</v>
      </c>
      <c r="AI30" s="2">
        <f t="shared" si="15"/>
        <v>4846.7440000000006</v>
      </c>
      <c r="AJ30" s="2">
        <f t="shared" si="15"/>
        <v>5246.3019999999997</v>
      </c>
      <c r="AK30" s="2">
        <f t="shared" si="15"/>
        <v>8994.8259999999991</v>
      </c>
      <c r="AL30" s="2">
        <f t="shared" si="15"/>
        <v>9578.228000000001</v>
      </c>
    </row>
    <row r="31" spans="2:48" s="2" customFormat="1" x14ac:dyDescent="0.2">
      <c r="B31" s="13" t="s">
        <v>98</v>
      </c>
      <c r="F31" s="2">
        <f t="shared" ref="F31:V31" si="18">+F$42*F24</f>
        <v>127.93200000000002</v>
      </c>
      <c r="G31" s="2">
        <f t="shared" si="18"/>
        <v>58.991999999999997</v>
      </c>
      <c r="H31" s="2">
        <f t="shared" si="18"/>
        <v>121.93</v>
      </c>
      <c r="I31" s="2">
        <f t="shared" si="18"/>
        <v>123.33300000000001</v>
      </c>
      <c r="J31" s="2">
        <f t="shared" si="18"/>
        <v>103.89599999999999</v>
      </c>
      <c r="K31" s="2">
        <f t="shared" si="18"/>
        <v>137.23199999999997</v>
      </c>
      <c r="L31" s="2">
        <f t="shared" si="18"/>
        <v>165.62</v>
      </c>
      <c r="M31" s="2">
        <f t="shared" si="18"/>
        <v>127.64099999999999</v>
      </c>
      <c r="N31" s="2">
        <f t="shared" si="18"/>
        <v>189.916</v>
      </c>
      <c r="O31" s="2">
        <f t="shared" si="18"/>
        <v>160.25399999999999</v>
      </c>
      <c r="P31" s="2">
        <f t="shared" si="18"/>
        <v>112.12200000000001</v>
      </c>
      <c r="Q31" s="2">
        <f t="shared" si="18"/>
        <v>212.328</v>
      </c>
      <c r="R31" s="2">
        <f t="shared" si="18"/>
        <v>284.125</v>
      </c>
      <c r="S31" s="2">
        <f t="shared" si="18"/>
        <v>118.97700000000003</v>
      </c>
      <c r="T31" s="2">
        <f t="shared" si="18"/>
        <v>333.26300000000003</v>
      </c>
      <c r="U31" s="2">
        <f t="shared" si="18"/>
        <v>177.78</v>
      </c>
      <c r="V31" s="2">
        <f t="shared" si="18"/>
        <v>142.31799999999998</v>
      </c>
      <c r="W31" s="2">
        <f t="shared" ref="W31" si="19">+W$42*W24</f>
        <v>114.80799999999999</v>
      </c>
      <c r="AI31" s="2">
        <f t="shared" si="15"/>
        <v>580.24400000000003</v>
      </c>
      <c r="AJ31" s="2">
        <f t="shared" si="15"/>
        <v>617.21199999999999</v>
      </c>
      <c r="AK31" s="2">
        <f t="shared" si="15"/>
        <v>877.54399999999998</v>
      </c>
      <c r="AL31" s="2">
        <f t="shared" si="15"/>
        <v>870.74800000000005</v>
      </c>
    </row>
    <row r="32" spans="2:48" s="2" customFormat="1" x14ac:dyDescent="0.2">
      <c r="B32" s="13" t="s">
        <v>99</v>
      </c>
      <c r="F32" s="2">
        <f t="shared" ref="F32:V32" si="20">+F$42*F25</f>
        <v>351.81300000000005</v>
      </c>
      <c r="G32" s="2">
        <f t="shared" si="20"/>
        <v>324.45600000000002</v>
      </c>
      <c r="H32" s="2">
        <f t="shared" si="20"/>
        <v>268.24599999999998</v>
      </c>
      <c r="I32" s="2">
        <f t="shared" si="20"/>
        <v>287.77700000000004</v>
      </c>
      <c r="J32" s="2">
        <f t="shared" si="20"/>
        <v>346.32</v>
      </c>
      <c r="K32" s="2">
        <f t="shared" si="20"/>
        <v>274.46399999999994</v>
      </c>
      <c r="L32" s="2">
        <f t="shared" si="20"/>
        <v>414.05</v>
      </c>
      <c r="M32" s="2">
        <f t="shared" si="20"/>
        <v>425.47</v>
      </c>
      <c r="N32" s="2">
        <f t="shared" si="20"/>
        <v>569.74799999999993</v>
      </c>
      <c r="O32" s="2">
        <f t="shared" si="20"/>
        <v>480.762</v>
      </c>
      <c r="P32" s="2">
        <f t="shared" si="20"/>
        <v>504.54900000000004</v>
      </c>
      <c r="Q32" s="2">
        <f t="shared" si="20"/>
        <v>530.82000000000005</v>
      </c>
      <c r="R32" s="2">
        <f t="shared" si="20"/>
        <v>681.9</v>
      </c>
      <c r="S32" s="2">
        <f t="shared" si="20"/>
        <v>317.27200000000011</v>
      </c>
      <c r="T32" s="2">
        <f t="shared" si="20"/>
        <v>428.48099999999994</v>
      </c>
      <c r="U32" s="2">
        <f t="shared" si="20"/>
        <v>592.6</v>
      </c>
      <c r="V32" s="2">
        <f t="shared" si="20"/>
        <v>640.43099999999993</v>
      </c>
      <c r="W32" s="2">
        <f t="shared" ref="W32" si="21">+W$42*W25</f>
        <v>287.02</v>
      </c>
      <c r="AI32" s="2">
        <f t="shared" si="15"/>
        <v>1501.808</v>
      </c>
      <c r="AJ32" s="2">
        <f t="shared" si="15"/>
        <v>1697.3329999999999</v>
      </c>
      <c r="AK32" s="2">
        <f t="shared" si="15"/>
        <v>2193.86</v>
      </c>
      <c r="AL32" s="2">
        <f t="shared" si="15"/>
        <v>1959.183</v>
      </c>
    </row>
    <row r="33" spans="2:53" s="2" customFormat="1" x14ac:dyDescent="0.2">
      <c r="B33" s="13" t="s">
        <v>100</v>
      </c>
      <c r="F33" s="2">
        <f t="shared" ref="F33:V33" si="22">+F$42*F26</f>
        <v>31.983000000000004</v>
      </c>
      <c r="G33" s="2">
        <f t="shared" si="22"/>
        <v>29.495999999999999</v>
      </c>
      <c r="H33" s="2">
        <f t="shared" si="22"/>
        <v>24.385999999999999</v>
      </c>
      <c r="I33" s="2">
        <f t="shared" si="22"/>
        <v>41.111000000000004</v>
      </c>
      <c r="J33" s="2">
        <f t="shared" si="22"/>
        <v>34.631999999999998</v>
      </c>
      <c r="K33" s="2">
        <f t="shared" si="22"/>
        <v>45.744</v>
      </c>
      <c r="L33" s="2">
        <f t="shared" si="22"/>
        <v>41.405000000000001</v>
      </c>
      <c r="M33" s="2">
        <f t="shared" si="22"/>
        <v>42.546999999999997</v>
      </c>
      <c r="N33" s="2">
        <f t="shared" si="22"/>
        <v>47.478999999999999</v>
      </c>
      <c r="O33" s="2">
        <f t="shared" si="22"/>
        <v>53.418000000000006</v>
      </c>
      <c r="P33" s="2">
        <f t="shared" si="22"/>
        <v>56.061000000000007</v>
      </c>
      <c r="Q33" s="2">
        <f t="shared" si="22"/>
        <v>53.082000000000001</v>
      </c>
      <c r="R33" s="2">
        <f t="shared" si="22"/>
        <v>113.65</v>
      </c>
      <c r="S33" s="2">
        <f t="shared" si="22"/>
        <v>39.659000000000013</v>
      </c>
      <c r="T33" s="2">
        <f t="shared" si="22"/>
        <v>95.217999999999989</v>
      </c>
      <c r="U33" s="2">
        <f t="shared" si="22"/>
        <v>118.52</v>
      </c>
      <c r="V33" s="2">
        <f t="shared" si="22"/>
        <v>142.31799999999998</v>
      </c>
      <c r="W33" s="2">
        <f t="shared" ref="W33" si="23">+W$42*W26</f>
        <v>57.403999999999996</v>
      </c>
      <c r="AI33" s="2">
        <f t="shared" si="15"/>
        <v>170.66</v>
      </c>
      <c r="AJ33" s="2">
        <f t="shared" si="15"/>
        <v>154.303</v>
      </c>
      <c r="AK33" s="2">
        <f t="shared" si="15"/>
        <v>219.386</v>
      </c>
      <c r="AL33" s="2">
        <f t="shared" si="15"/>
        <v>435.37400000000002</v>
      </c>
    </row>
    <row r="34" spans="2:53" s="2" customFormat="1" x14ac:dyDescent="0.2">
      <c r="B34" s="13" t="s">
        <v>108</v>
      </c>
      <c r="F34" s="2">
        <f t="shared" ref="F34:V34" si="24">+F$42*F27</f>
        <v>95.948999999999998</v>
      </c>
      <c r="G34" s="2">
        <f t="shared" si="24"/>
        <v>88.488</v>
      </c>
      <c r="H34" s="2">
        <f t="shared" si="24"/>
        <v>97.543999999999997</v>
      </c>
      <c r="I34" s="2">
        <f t="shared" si="24"/>
        <v>123.33300000000001</v>
      </c>
      <c r="J34" s="2">
        <f t="shared" si="24"/>
        <v>173.16</v>
      </c>
      <c r="K34" s="2">
        <f t="shared" si="24"/>
        <v>160.10400000000001</v>
      </c>
      <c r="L34" s="2">
        <f t="shared" si="24"/>
        <v>165.62</v>
      </c>
      <c r="M34" s="2">
        <f t="shared" si="24"/>
        <v>170.18799999999999</v>
      </c>
      <c r="N34" s="2">
        <f t="shared" si="24"/>
        <v>142.43699999999998</v>
      </c>
      <c r="O34" s="2">
        <f t="shared" si="24"/>
        <v>160.25399999999999</v>
      </c>
      <c r="P34" s="2">
        <f t="shared" si="24"/>
        <v>112.12200000000001</v>
      </c>
      <c r="Q34" s="2">
        <f t="shared" si="24"/>
        <v>106.164</v>
      </c>
      <c r="R34" s="2">
        <f t="shared" si="24"/>
        <v>170.47499999999999</v>
      </c>
      <c r="S34" s="2">
        <f t="shared" si="24"/>
        <v>118.97700000000003</v>
      </c>
      <c r="T34" s="2">
        <f t="shared" si="24"/>
        <v>47.608999999999995</v>
      </c>
      <c r="U34" s="2">
        <f t="shared" si="24"/>
        <v>118.52</v>
      </c>
      <c r="V34" s="2">
        <f t="shared" si="24"/>
        <v>284.63599999999997</v>
      </c>
      <c r="W34" s="2">
        <f t="shared" ref="W34" si="25">+W$42*W27</f>
        <v>172.21199999999999</v>
      </c>
      <c r="AI34" s="2">
        <f t="shared" si="15"/>
        <v>614.37600000000009</v>
      </c>
      <c r="AJ34" s="2">
        <f t="shared" si="15"/>
        <v>617.21199999999999</v>
      </c>
      <c r="AK34" s="2">
        <f t="shared" si="15"/>
        <v>438.77199999999999</v>
      </c>
      <c r="AL34" s="2">
        <f t="shared" si="15"/>
        <v>653.06100000000004</v>
      </c>
    </row>
    <row r="35" spans="2:53" s="31" customFormat="1" x14ac:dyDescent="0.2">
      <c r="B35" s="34" t="s">
        <v>217</v>
      </c>
      <c r="W35" s="37"/>
    </row>
    <row r="36" spans="2:53" s="15" customFormat="1" x14ac:dyDescent="0.2">
      <c r="B36" s="14" t="s">
        <v>218</v>
      </c>
      <c r="F36" s="15">
        <v>0.72</v>
      </c>
      <c r="G36" s="15">
        <v>0.78</v>
      </c>
      <c r="H36" s="15">
        <v>0.72</v>
      </c>
      <c r="I36" s="15">
        <v>0.61</v>
      </c>
      <c r="J36" s="15">
        <v>0.73</v>
      </c>
      <c r="K36" s="15">
        <v>0.5</v>
      </c>
      <c r="L36" s="15">
        <v>0.71</v>
      </c>
      <c r="M36" s="15">
        <v>0.68</v>
      </c>
      <c r="N36" s="15">
        <v>0.64</v>
      </c>
      <c r="O36" s="15">
        <v>0.7</v>
      </c>
      <c r="P36" s="15">
        <v>0.84</v>
      </c>
      <c r="Q36" s="15">
        <v>0.76</v>
      </c>
      <c r="R36" s="15">
        <v>0.53</v>
      </c>
      <c r="S36" s="15">
        <v>0.41</v>
      </c>
      <c r="T36" s="15">
        <v>0.73</v>
      </c>
      <c r="U36" s="15">
        <v>0.45</v>
      </c>
      <c r="V36" s="15">
        <v>0.61</v>
      </c>
      <c r="W36" s="10">
        <v>0.57999999999999996</v>
      </c>
      <c r="AG36" s="15">
        <f>+AG39/AG$42</f>
        <v>0.72986372023743351</v>
      </c>
      <c r="AH36" s="15">
        <f t="shared" ref="AH36:AJ36" si="26">+AH39/AH$42</f>
        <v>0.71661206211348694</v>
      </c>
      <c r="AI36" s="15">
        <f t="shared" si="26"/>
        <v>0.70234677135825618</v>
      </c>
      <c r="AJ36" s="15">
        <f t="shared" si="26"/>
        <v>0.64658496594363046</v>
      </c>
      <c r="AK36" s="15">
        <v>0.73</v>
      </c>
      <c r="AL36" s="15">
        <v>0.61</v>
      </c>
    </row>
    <row r="37" spans="2:53" s="15" customFormat="1" x14ac:dyDescent="0.2">
      <c r="B37" s="14" t="s">
        <v>219</v>
      </c>
      <c r="F37" s="15">
        <v>0.22</v>
      </c>
      <c r="G37" s="15">
        <v>0.22</v>
      </c>
      <c r="H37" s="15">
        <v>0.28000000000000003</v>
      </c>
      <c r="I37" s="15">
        <v>0.39</v>
      </c>
      <c r="J37" s="15">
        <v>0.27</v>
      </c>
      <c r="K37" s="15">
        <v>0.5</v>
      </c>
      <c r="L37" s="15">
        <v>0.28999999999999998</v>
      </c>
      <c r="M37" s="15">
        <v>0.32</v>
      </c>
      <c r="N37" s="15">
        <v>0.36</v>
      </c>
      <c r="O37" s="15">
        <v>0.3</v>
      </c>
      <c r="P37" s="15">
        <v>0.16</v>
      </c>
      <c r="Q37" s="15">
        <v>0.24</v>
      </c>
      <c r="R37" s="15">
        <v>0.47</v>
      </c>
      <c r="S37" s="15">
        <v>0.59</v>
      </c>
      <c r="T37" s="15">
        <v>0.27</v>
      </c>
      <c r="U37" s="15">
        <v>0.55000000000000004</v>
      </c>
      <c r="V37" s="15">
        <v>0.39</v>
      </c>
      <c r="W37" s="10">
        <v>0.42</v>
      </c>
      <c r="AG37" s="15">
        <f>+AG40/AG$42</f>
        <v>0.27011404815366485</v>
      </c>
      <c r="AH37" s="15">
        <f t="shared" ref="AH37:AJ37" si="27">+AH40/AH$42</f>
        <v>0.2834267103503092</v>
      </c>
      <c r="AI37" s="15">
        <f t="shared" si="27"/>
        <v>0.29766787765147079</v>
      </c>
      <c r="AJ37" s="15">
        <f t="shared" si="27"/>
        <v>0.3533955917901791</v>
      </c>
      <c r="AK37" s="15">
        <f>+AK40/AK$42</f>
        <v>0.27139379905736921</v>
      </c>
      <c r="AL37" s="15">
        <f>+AL40/AL$42</f>
        <v>0.39000950906576876</v>
      </c>
    </row>
    <row r="38" spans="2:53" s="35" customFormat="1" x14ac:dyDescent="0.2">
      <c r="B38" s="36" t="s">
        <v>220</v>
      </c>
      <c r="W38" s="38"/>
    </row>
    <row r="39" spans="2:53" s="2" customFormat="1" x14ac:dyDescent="0.2">
      <c r="B39" s="13" t="s">
        <v>218</v>
      </c>
      <c r="F39" s="2">
        <f t="shared" ref="F39:V39" si="28">+F$42*F36</f>
        <v>2302.7759999999998</v>
      </c>
      <c r="G39" s="2">
        <f t="shared" si="28"/>
        <v>2300.6880000000001</v>
      </c>
      <c r="H39" s="2">
        <f t="shared" si="28"/>
        <v>1755.7919999999999</v>
      </c>
      <c r="I39" s="2">
        <f t="shared" si="28"/>
        <v>2507.7710000000002</v>
      </c>
      <c r="J39" s="2">
        <f t="shared" si="28"/>
        <v>2528.136</v>
      </c>
      <c r="K39" s="2">
        <f t="shared" si="28"/>
        <v>1143.5999999999999</v>
      </c>
      <c r="L39" s="2">
        <f t="shared" si="28"/>
        <v>2939.7549999999997</v>
      </c>
      <c r="M39" s="2">
        <f t="shared" si="28"/>
        <v>2893.1959999999999</v>
      </c>
      <c r="N39" s="2">
        <f t="shared" si="28"/>
        <v>3038.6559999999999</v>
      </c>
      <c r="O39" s="2">
        <f t="shared" si="28"/>
        <v>3739.2599999999998</v>
      </c>
      <c r="P39" s="2">
        <f t="shared" si="28"/>
        <v>4709.1239999999998</v>
      </c>
      <c r="Q39" s="2">
        <f t="shared" si="28"/>
        <v>4034.232</v>
      </c>
      <c r="R39" s="2">
        <f t="shared" si="28"/>
        <v>3011.7250000000004</v>
      </c>
      <c r="S39" s="2">
        <f t="shared" si="28"/>
        <v>1626.0190000000005</v>
      </c>
      <c r="T39" s="2">
        <f t="shared" si="28"/>
        <v>3475.4569999999994</v>
      </c>
      <c r="U39" s="2">
        <f t="shared" si="28"/>
        <v>2666.7000000000003</v>
      </c>
      <c r="V39" s="2">
        <f t="shared" si="28"/>
        <v>4340.6989999999996</v>
      </c>
      <c r="W39" s="2">
        <f t="shared" ref="W39" si="29">+W$42*W36</f>
        <v>3329.4319999999993</v>
      </c>
      <c r="AG39" s="2">
        <v>6566</v>
      </c>
      <c r="AH39" s="2">
        <v>7393</v>
      </c>
      <c r="AI39" s="2">
        <v>9589</v>
      </c>
      <c r="AJ39" s="2">
        <v>9977</v>
      </c>
      <c r="AK39" s="2">
        <v>15985</v>
      </c>
      <c r="AL39" s="2">
        <f>+$AL$42*AL36</f>
        <v>13278.907000000001</v>
      </c>
    </row>
    <row r="40" spans="2:53" x14ac:dyDescent="0.2">
      <c r="B40" s="13" t="s">
        <v>219</v>
      </c>
      <c r="C40" s="2"/>
      <c r="D40" s="2"/>
      <c r="E40" s="2"/>
      <c r="F40" s="2">
        <f t="shared" ref="F40:U40" si="30">+F$42*F37</f>
        <v>703.62600000000009</v>
      </c>
      <c r="G40" s="2">
        <f t="shared" si="30"/>
        <v>648.91200000000003</v>
      </c>
      <c r="H40" s="2">
        <f t="shared" si="30"/>
        <v>682.80799999999999</v>
      </c>
      <c r="I40" s="2">
        <f t="shared" si="30"/>
        <v>1603.3290000000002</v>
      </c>
      <c r="J40" s="2">
        <f t="shared" si="30"/>
        <v>935.06399999999996</v>
      </c>
      <c r="K40" s="2">
        <f t="shared" si="30"/>
        <v>1143.5999999999999</v>
      </c>
      <c r="L40" s="2">
        <f t="shared" si="30"/>
        <v>1200.7449999999999</v>
      </c>
      <c r="M40" s="2">
        <f t="shared" si="30"/>
        <v>1361.5039999999999</v>
      </c>
      <c r="N40" s="2">
        <f t="shared" si="30"/>
        <v>1709.2439999999999</v>
      </c>
      <c r="O40" s="2">
        <f t="shared" si="30"/>
        <v>1602.54</v>
      </c>
      <c r="P40" s="2">
        <f t="shared" si="30"/>
        <v>896.97600000000011</v>
      </c>
      <c r="Q40" s="2">
        <f t="shared" si="30"/>
        <v>1273.9679999999998</v>
      </c>
      <c r="R40" s="2">
        <f t="shared" si="30"/>
        <v>2670.7749999999996</v>
      </c>
      <c r="S40" s="2">
        <f t="shared" si="30"/>
        <v>2339.8810000000008</v>
      </c>
      <c r="T40" s="2">
        <f t="shared" si="30"/>
        <v>1285.443</v>
      </c>
      <c r="U40" s="2">
        <f t="shared" si="30"/>
        <v>3259.3</v>
      </c>
      <c r="V40" s="2">
        <f>+V$42*V37</f>
        <v>2775.201</v>
      </c>
      <c r="W40" s="2">
        <f>+W$42*W37</f>
        <v>2410.9679999999998</v>
      </c>
      <c r="AG40" s="4">
        <v>2430</v>
      </c>
      <c r="AH40" s="4">
        <v>2924</v>
      </c>
      <c r="AI40" s="4">
        <v>4064</v>
      </c>
      <c r="AJ40" s="4">
        <v>5453</v>
      </c>
      <c r="AK40" s="4">
        <v>5954</v>
      </c>
      <c r="AL40" s="2">
        <v>8490</v>
      </c>
    </row>
    <row r="41" spans="2:53" s="2" customFormat="1" x14ac:dyDescent="0.2">
      <c r="B41" s="14"/>
      <c r="W41" s="4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2:53" s="2" customFormat="1" x14ac:dyDescent="0.2">
      <c r="B42" s="13" t="s">
        <v>85</v>
      </c>
      <c r="E42" s="2">
        <v>3095.6</v>
      </c>
      <c r="F42" s="2">
        <v>3198.3</v>
      </c>
      <c r="G42" s="2">
        <v>2949.6</v>
      </c>
      <c r="H42" s="2">
        <v>2438.6</v>
      </c>
      <c r="I42" s="2">
        <v>4111.1000000000004</v>
      </c>
      <c r="J42" s="2">
        <v>3463.2</v>
      </c>
      <c r="K42" s="2">
        <v>2287.1999999999998</v>
      </c>
      <c r="L42" s="2">
        <v>4140.5</v>
      </c>
      <c r="M42" s="2">
        <v>4254.7</v>
      </c>
      <c r="N42" s="2">
        <v>4747.8999999999996</v>
      </c>
      <c r="O42" s="2">
        <v>5341.8</v>
      </c>
      <c r="P42" s="2">
        <v>5606.1</v>
      </c>
      <c r="Q42" s="2">
        <v>5308.2</v>
      </c>
      <c r="R42" s="2">
        <v>5682.5</v>
      </c>
      <c r="S42" s="2">
        <f>+AL42-SUM(T42:V42)</f>
        <v>3965.9000000000015</v>
      </c>
      <c r="T42" s="2">
        <v>4760.8999999999996</v>
      </c>
      <c r="U42" s="2">
        <v>5926</v>
      </c>
      <c r="V42" s="2">
        <v>7115.9</v>
      </c>
      <c r="W42" s="4">
        <v>5740.4</v>
      </c>
      <c r="AB42" s="2">
        <v>4242.79</v>
      </c>
      <c r="AC42" s="2">
        <v>4237.183</v>
      </c>
      <c r="AD42" s="2">
        <v>4718.8999999999996</v>
      </c>
      <c r="AE42" s="2">
        <v>6424.4</v>
      </c>
      <c r="AF42" s="2">
        <v>8259.1</v>
      </c>
      <c r="AG42" s="2">
        <v>8996.2000000000007</v>
      </c>
      <c r="AH42" s="2">
        <v>10316.6</v>
      </c>
      <c r="AI42" s="2">
        <v>13652.8</v>
      </c>
      <c r="AJ42" s="2">
        <v>15430.3</v>
      </c>
      <c r="AK42" s="2">
        <v>21938.6</v>
      </c>
      <c r="AL42" s="2">
        <v>21768.7</v>
      </c>
    </row>
    <row r="43" spans="2:53" s="2" customFormat="1" x14ac:dyDescent="0.2">
      <c r="B43" s="13" t="s">
        <v>86</v>
      </c>
      <c r="E43" s="2">
        <v>862.4</v>
      </c>
      <c r="F43" s="2">
        <v>1055.8</v>
      </c>
      <c r="G43" s="2">
        <v>1070.5999999999999</v>
      </c>
      <c r="H43" s="2">
        <v>887.1</v>
      </c>
      <c r="I43" s="2">
        <v>1130.2</v>
      </c>
      <c r="J43" s="2">
        <v>1522.4</v>
      </c>
      <c r="K43" s="2">
        <v>1247.2</v>
      </c>
      <c r="L43" s="2">
        <v>1290</v>
      </c>
      <c r="M43" s="2">
        <v>1523.6</v>
      </c>
      <c r="N43" s="2">
        <v>1682.3</v>
      </c>
      <c r="O43" s="2">
        <v>1404.4</v>
      </c>
      <c r="P43" s="2">
        <v>1296.2</v>
      </c>
      <c r="Q43" s="2">
        <v>1364.8</v>
      </c>
      <c r="R43" s="2">
        <v>1554.5</v>
      </c>
      <c r="S43" s="2">
        <f>+AL43-SUM(T43:V43)</f>
        <v>1324.0999999999995</v>
      </c>
      <c r="T43" s="2">
        <v>1481.9</v>
      </c>
      <c r="U43" s="2">
        <v>1541.3</v>
      </c>
      <c r="V43" s="2">
        <v>2146.9</v>
      </c>
      <c r="W43" s="4">
        <v>2001.1</v>
      </c>
      <c r="X43" s="16"/>
      <c r="Y43" s="20"/>
      <c r="Z43" s="20"/>
      <c r="AB43" s="2">
        <v>1613.4870000000001</v>
      </c>
      <c r="AC43" s="2">
        <v>2050.192</v>
      </c>
      <c r="AD43" s="2">
        <v>2156.1999999999998</v>
      </c>
      <c r="AE43" s="2">
        <v>2538.3000000000002</v>
      </c>
      <c r="AF43" s="2">
        <v>2684.9</v>
      </c>
      <c r="AG43" s="2">
        <v>2823.8</v>
      </c>
      <c r="AH43" s="2">
        <v>3661.9</v>
      </c>
      <c r="AI43" s="2">
        <v>4958.2</v>
      </c>
      <c r="AJ43" s="2">
        <v>5743.1</v>
      </c>
      <c r="AK43" s="2">
        <v>5619.9</v>
      </c>
      <c r="AL43" s="2">
        <v>6494.2</v>
      </c>
    </row>
    <row r="44" spans="2:53" s="9" customFormat="1" x14ac:dyDescent="0.2">
      <c r="B44" s="8" t="s">
        <v>25</v>
      </c>
      <c r="C44" s="9">
        <v>2440.6</v>
      </c>
      <c r="D44" s="9">
        <v>3325.7</v>
      </c>
      <c r="E44" s="9">
        <v>3958</v>
      </c>
      <c r="F44" s="9">
        <v>4254.1000000000004</v>
      </c>
      <c r="G44" s="9">
        <v>4363.8999999999996</v>
      </c>
      <c r="H44" s="9">
        <v>4020.2</v>
      </c>
      <c r="I44" s="9">
        <v>5241.3</v>
      </c>
      <c r="J44" s="9">
        <v>4985.6000000000004</v>
      </c>
      <c r="K44" s="9">
        <v>3534.4</v>
      </c>
      <c r="L44" s="9">
        <v>5430.5</v>
      </c>
      <c r="M44" s="9">
        <v>5778.3</v>
      </c>
      <c r="N44" s="9">
        <v>6430.2</v>
      </c>
      <c r="O44" s="9">
        <v>6746.2</v>
      </c>
      <c r="P44" s="9">
        <v>6902.3</v>
      </c>
      <c r="Q44" s="9">
        <v>6673</v>
      </c>
      <c r="R44" s="9">
        <f>+SUM(R42:R43)</f>
        <v>7237</v>
      </c>
      <c r="S44" s="9">
        <v>5290</v>
      </c>
      <c r="T44" s="9">
        <f>+T42+T43</f>
        <v>6242.7999999999993</v>
      </c>
      <c r="U44" s="9">
        <f>+SUM(U42:U43)</f>
        <v>7467.3</v>
      </c>
      <c r="V44" s="9">
        <f>+SUM(V42:V43)</f>
        <v>9262.7999999999993</v>
      </c>
      <c r="W44" s="9">
        <f>+SUM(W42:W43)</f>
        <v>7741.5</v>
      </c>
      <c r="X44" s="16">
        <v>7700</v>
      </c>
      <c r="Y44" s="20"/>
      <c r="Z44" s="20"/>
      <c r="AA44" s="19"/>
      <c r="AB44" s="9">
        <f t="shared" ref="AB44:AK44" si="31">+SUM(AB42:AB43)</f>
        <v>5856.277</v>
      </c>
      <c r="AC44" s="9">
        <f t="shared" si="31"/>
        <v>6287.375</v>
      </c>
      <c r="AD44" s="9">
        <f t="shared" si="31"/>
        <v>6875.0999999999995</v>
      </c>
      <c r="AE44" s="9">
        <f t="shared" si="31"/>
        <v>8962.7000000000007</v>
      </c>
      <c r="AF44" s="9">
        <f t="shared" si="31"/>
        <v>10944</v>
      </c>
      <c r="AG44" s="9">
        <f t="shared" si="31"/>
        <v>11820</v>
      </c>
      <c r="AH44" s="9">
        <f t="shared" si="31"/>
        <v>13978.5</v>
      </c>
      <c r="AI44" s="9">
        <f t="shared" si="31"/>
        <v>18611</v>
      </c>
      <c r="AJ44" s="9">
        <f t="shared" si="31"/>
        <v>21173.4</v>
      </c>
      <c r="AK44" s="9">
        <f t="shared" si="31"/>
        <v>27558.5</v>
      </c>
      <c r="AL44" s="9">
        <f>+SUM(AL42:AL43)</f>
        <v>28262.9</v>
      </c>
      <c r="AM44" s="29">
        <f>+AL44*1.1</f>
        <v>31089.190000000002</v>
      </c>
      <c r="AN44" s="9">
        <f t="shared" ref="AN44:AV44" si="32">+AM44*1.1</f>
        <v>34198.109000000004</v>
      </c>
      <c r="AO44" s="9">
        <f t="shared" si="32"/>
        <v>37617.919900000008</v>
      </c>
      <c r="AP44" s="9">
        <f t="shared" si="32"/>
        <v>41379.711890000013</v>
      </c>
      <c r="AQ44" s="9">
        <f t="shared" si="32"/>
        <v>45517.683079000017</v>
      </c>
      <c r="AR44" s="29">
        <f t="shared" si="32"/>
        <v>50069.451386900022</v>
      </c>
      <c r="AS44" s="9">
        <f t="shared" si="32"/>
        <v>55076.396525590026</v>
      </c>
      <c r="AT44" s="9">
        <f t="shared" si="32"/>
        <v>60584.036178149036</v>
      </c>
      <c r="AU44" s="9">
        <f t="shared" si="32"/>
        <v>66642.439795963946</v>
      </c>
      <c r="AV44" s="9">
        <f t="shared" si="32"/>
        <v>73306.683775560348</v>
      </c>
      <c r="AW44" s="9">
        <f t="shared" ref="AW44:BA44" si="33">+AV44*1.1</f>
        <v>80637.352153116386</v>
      </c>
      <c r="AX44" s="9">
        <f t="shared" si="33"/>
        <v>88701.087368428038</v>
      </c>
      <c r="AY44" s="9">
        <f t="shared" si="33"/>
        <v>97571.19610527085</v>
      </c>
      <c r="AZ44" s="9">
        <f t="shared" si="33"/>
        <v>107328.31571579794</v>
      </c>
      <c r="BA44" s="9">
        <f t="shared" si="33"/>
        <v>118061.14728737775</v>
      </c>
    </row>
    <row r="45" spans="2:53" x14ac:dyDescent="0.2">
      <c r="B45" t="s">
        <v>87</v>
      </c>
      <c r="W45" s="10"/>
      <c r="X45" s="15"/>
      <c r="Y45" s="19"/>
      <c r="Z45" s="19"/>
      <c r="AA45" s="19"/>
      <c r="AB45" s="4">
        <v>2335.5120000000002</v>
      </c>
      <c r="AC45" s="4">
        <v>2212.9650000000001</v>
      </c>
      <c r="AD45" s="4">
        <v>2423.9</v>
      </c>
      <c r="AE45" s="4">
        <v>3439.9</v>
      </c>
      <c r="AF45" s="4">
        <v>4141.2</v>
      </c>
      <c r="AG45" s="4">
        <v>4676.2</v>
      </c>
      <c r="AH45" s="4">
        <v>5169.3</v>
      </c>
      <c r="AI45" s="4">
        <v>6482.9</v>
      </c>
      <c r="AJ45" s="4">
        <v>7582.3</v>
      </c>
      <c r="AK45" s="4">
        <v>10151</v>
      </c>
    </row>
    <row r="46" spans="2:53" x14ac:dyDescent="0.2">
      <c r="B46" t="s">
        <v>88</v>
      </c>
      <c r="W46" s="10"/>
      <c r="X46" s="15"/>
      <c r="Y46" s="19"/>
      <c r="Z46" s="19"/>
      <c r="AA46" s="19"/>
      <c r="AB46" s="4">
        <v>924.39099999999996</v>
      </c>
      <c r="AC46" s="4">
        <v>1178.6659999999999</v>
      </c>
      <c r="AD46" s="4">
        <v>1305.9000000000001</v>
      </c>
      <c r="AE46" s="4">
        <v>1502.6</v>
      </c>
      <c r="AF46" s="4">
        <v>1773.6</v>
      </c>
      <c r="AG46" s="4">
        <v>1864</v>
      </c>
      <c r="AH46" s="4">
        <v>2012</v>
      </c>
      <c r="AI46" s="4">
        <v>2319.1</v>
      </c>
      <c r="AJ46" s="4">
        <v>2891</v>
      </c>
      <c r="AK46" s="4">
        <v>3271.4</v>
      </c>
    </row>
    <row r="47" spans="2:53" x14ac:dyDescent="0.2">
      <c r="B47" t="s">
        <v>26</v>
      </c>
      <c r="C47" s="4">
        <v>1339.2</v>
      </c>
      <c r="D47" s="4">
        <v>1722.5</v>
      </c>
      <c r="E47" s="4">
        <v>2076.6</v>
      </c>
      <c r="F47" s="4">
        <v>2043</v>
      </c>
      <c r="G47" s="4">
        <v>2011.5</v>
      </c>
      <c r="H47" s="4">
        <v>1975.6</v>
      </c>
      <c r="I47" s="4">
        <v>2529.9</v>
      </c>
      <c r="J47" s="4">
        <v>2285</v>
      </c>
      <c r="K47" s="4">
        <v>1803.4</v>
      </c>
      <c r="L47" s="4">
        <v>2766</v>
      </c>
      <c r="M47" s="4">
        <v>2784.6</v>
      </c>
      <c r="N47" s="4">
        <v>3119.3</v>
      </c>
      <c r="O47" s="4">
        <v>3333</v>
      </c>
      <c r="P47" s="4">
        <v>3358.3</v>
      </c>
      <c r="Q47" s="4">
        <v>3211.4</v>
      </c>
      <c r="R47" s="4">
        <v>3519.7</v>
      </c>
      <c r="S47" s="4">
        <v>2593.4</v>
      </c>
      <c r="T47" s="4">
        <v>3030.6</v>
      </c>
      <c r="U47" s="4">
        <v>3673.9</v>
      </c>
      <c r="V47" s="4">
        <v>4473</v>
      </c>
      <c r="W47" s="4">
        <v>3561.8</v>
      </c>
      <c r="X47" s="15"/>
      <c r="Y47" s="19"/>
      <c r="Z47" s="19"/>
      <c r="AA47" s="19"/>
      <c r="AB47" s="4">
        <f t="shared" ref="AB47:AI47" si="34">+SUM(AB45:AB46)</f>
        <v>3259.9030000000002</v>
      </c>
      <c r="AC47" s="4">
        <f t="shared" si="34"/>
        <v>3391.6310000000003</v>
      </c>
      <c r="AD47" s="4">
        <f t="shared" si="34"/>
        <v>3729.8</v>
      </c>
      <c r="AE47" s="4">
        <f t="shared" si="34"/>
        <v>4942.5</v>
      </c>
      <c r="AF47" s="4">
        <f t="shared" si="34"/>
        <v>5914.7999999999993</v>
      </c>
      <c r="AG47" s="4">
        <f t="shared" si="34"/>
        <v>6540.2</v>
      </c>
      <c r="AH47" s="4">
        <f t="shared" si="34"/>
        <v>7181.3</v>
      </c>
      <c r="AI47" s="4">
        <f t="shared" si="34"/>
        <v>8802</v>
      </c>
      <c r="AJ47" s="4">
        <f t="shared" ref="AJ47:AK47" si="35">+SUM(AJ45:AJ46)</f>
        <v>10473.299999999999</v>
      </c>
      <c r="AK47" s="4">
        <f t="shared" si="35"/>
        <v>13422.4</v>
      </c>
      <c r="AL47" s="4">
        <v>13770.9</v>
      </c>
      <c r="AM47" s="4">
        <f t="shared" ref="AM47:BA47" si="36">+AL47*1.07</f>
        <v>14734.863000000001</v>
      </c>
      <c r="AN47" s="4">
        <f t="shared" si="36"/>
        <v>15766.303410000002</v>
      </c>
      <c r="AO47" s="4">
        <f t="shared" si="36"/>
        <v>16869.944648700002</v>
      </c>
      <c r="AP47" s="4">
        <f t="shared" si="36"/>
        <v>18050.840774109005</v>
      </c>
      <c r="AQ47" s="4">
        <f t="shared" si="36"/>
        <v>19314.399628296636</v>
      </c>
      <c r="AR47" s="4">
        <f t="shared" si="36"/>
        <v>20666.407602277402</v>
      </c>
      <c r="AS47" s="4">
        <f t="shared" si="36"/>
        <v>22113.056134436822</v>
      </c>
      <c r="AT47" s="4">
        <f t="shared" si="36"/>
        <v>23660.970063847399</v>
      </c>
      <c r="AU47" s="4">
        <f t="shared" si="36"/>
        <v>25317.237968316716</v>
      </c>
      <c r="AV47" s="4">
        <f t="shared" si="36"/>
        <v>27089.444626098888</v>
      </c>
      <c r="AW47" s="4">
        <f t="shared" si="36"/>
        <v>28985.705749925812</v>
      </c>
      <c r="AX47" s="4">
        <f t="shared" si="36"/>
        <v>31014.705152420622</v>
      </c>
      <c r="AY47" s="4">
        <f t="shared" si="36"/>
        <v>33185.734513090065</v>
      </c>
      <c r="AZ47" s="4">
        <f t="shared" si="36"/>
        <v>35508.735929006369</v>
      </c>
      <c r="BA47" s="4">
        <f t="shared" si="36"/>
        <v>37994.347444036815</v>
      </c>
    </row>
    <row r="48" spans="2:53" x14ac:dyDescent="0.2">
      <c r="B48" t="s">
        <v>27</v>
      </c>
      <c r="C48" s="4">
        <f t="shared" ref="C48:T48" si="37">+C44-C47</f>
        <v>1101.3999999999999</v>
      </c>
      <c r="D48" s="4">
        <f t="shared" si="37"/>
        <v>1603.1999999999998</v>
      </c>
      <c r="E48" s="4">
        <f t="shared" si="37"/>
        <v>1881.4</v>
      </c>
      <c r="F48" s="4">
        <f t="shared" si="37"/>
        <v>2211.1000000000004</v>
      </c>
      <c r="G48" s="4">
        <f t="shared" si="37"/>
        <v>2352.3999999999996</v>
      </c>
      <c r="H48" s="4">
        <f t="shared" si="37"/>
        <v>2044.6</v>
      </c>
      <c r="I48" s="4">
        <f t="shared" si="37"/>
        <v>2711.4</v>
      </c>
      <c r="J48" s="4">
        <f t="shared" si="37"/>
        <v>2700.6000000000004</v>
      </c>
      <c r="K48" s="4">
        <f t="shared" si="37"/>
        <v>1731</v>
      </c>
      <c r="L48" s="4">
        <f t="shared" si="37"/>
        <v>2664.5</v>
      </c>
      <c r="M48" s="4">
        <f t="shared" si="37"/>
        <v>2993.7000000000003</v>
      </c>
      <c r="N48" s="4">
        <f t="shared" si="37"/>
        <v>3310.8999999999996</v>
      </c>
      <c r="O48" s="4">
        <f t="shared" si="37"/>
        <v>3413.2</v>
      </c>
      <c r="P48" s="4">
        <f t="shared" si="37"/>
        <v>3544</v>
      </c>
      <c r="Q48" s="4">
        <f t="shared" si="37"/>
        <v>3461.6</v>
      </c>
      <c r="R48" s="4">
        <f t="shared" si="37"/>
        <v>3717.3</v>
      </c>
      <c r="S48" s="4">
        <f t="shared" si="37"/>
        <v>2696.6</v>
      </c>
      <c r="T48" s="4">
        <f t="shared" si="37"/>
        <v>3212.1999999999994</v>
      </c>
      <c r="U48" s="4">
        <f t="shared" ref="U48:W48" si="38">+U44-U47</f>
        <v>3793.4</v>
      </c>
      <c r="V48" s="4">
        <f t="shared" si="38"/>
        <v>4789.7999999999993</v>
      </c>
      <c r="W48" s="4">
        <f t="shared" si="38"/>
        <v>4179.7</v>
      </c>
      <c r="X48" s="15"/>
      <c r="Y48" s="19"/>
      <c r="Z48" s="19"/>
      <c r="AA48" s="19"/>
      <c r="AB48" s="4">
        <f t="shared" ref="AB48:AD48" si="39">+AB44-AB47</f>
        <v>2596.3739999999998</v>
      </c>
      <c r="AC48" s="4">
        <f t="shared" si="39"/>
        <v>2895.7439999999997</v>
      </c>
      <c r="AD48" s="4">
        <f t="shared" si="39"/>
        <v>3145.2999999999993</v>
      </c>
      <c r="AE48" s="4">
        <f t="shared" ref="AE48:AG48" si="40">+AE44-AE47</f>
        <v>4020.2000000000007</v>
      </c>
      <c r="AF48" s="4">
        <f t="shared" si="40"/>
        <v>5029.2000000000007</v>
      </c>
      <c r="AG48" s="4">
        <f t="shared" si="40"/>
        <v>5279.8</v>
      </c>
      <c r="AH48" s="4">
        <f t="shared" ref="AH48:AI48" si="41">+AH44-AH47</f>
        <v>6797.2</v>
      </c>
      <c r="AI48" s="4">
        <f t="shared" si="41"/>
        <v>9809</v>
      </c>
      <c r="AJ48" s="4">
        <f t="shared" ref="AJ48" si="42">+AJ44-AJ47</f>
        <v>10700.100000000002</v>
      </c>
      <c r="AK48" s="4">
        <f>+AK44-AK47</f>
        <v>14136.1</v>
      </c>
      <c r="AL48" s="4">
        <f>+AL44-AL47</f>
        <v>14492.000000000002</v>
      </c>
      <c r="AM48" s="4">
        <f t="shared" ref="AM48:AV48" si="43">+AM44-AM47</f>
        <v>16354.327000000001</v>
      </c>
      <c r="AN48" s="4">
        <f t="shared" si="43"/>
        <v>18431.805590000004</v>
      </c>
      <c r="AO48" s="4">
        <f t="shared" si="43"/>
        <v>20747.975251300006</v>
      </c>
      <c r="AP48" s="4">
        <f t="shared" si="43"/>
        <v>23328.871115891008</v>
      </c>
      <c r="AQ48" s="4">
        <f t="shared" si="43"/>
        <v>26203.28345070338</v>
      </c>
      <c r="AR48" s="4">
        <f t="shared" si="43"/>
        <v>29403.04378462262</v>
      </c>
      <c r="AS48" s="4">
        <f t="shared" si="43"/>
        <v>32963.340391153208</v>
      </c>
      <c r="AT48" s="4">
        <f t="shared" si="43"/>
        <v>36923.066114301633</v>
      </c>
      <c r="AU48" s="4">
        <f t="shared" si="43"/>
        <v>41325.20182764723</v>
      </c>
      <c r="AV48" s="4">
        <f t="shared" si="43"/>
        <v>46217.239149461457</v>
      </c>
      <c r="AW48" s="4">
        <f t="shared" ref="AW48:BA48" si="44">+AW44-AW47</f>
        <v>51651.646403190578</v>
      </c>
      <c r="AX48" s="4">
        <f t="shared" si="44"/>
        <v>57686.38221600742</v>
      </c>
      <c r="AY48" s="4">
        <f t="shared" si="44"/>
        <v>64385.461592180785</v>
      </c>
      <c r="AZ48" s="4">
        <f t="shared" si="44"/>
        <v>71819.579786791583</v>
      </c>
      <c r="BA48" s="4">
        <f t="shared" si="44"/>
        <v>80066.799843340938</v>
      </c>
    </row>
    <row r="49" spans="2:149" x14ac:dyDescent="0.2">
      <c r="B49" t="s">
        <v>28</v>
      </c>
      <c r="C49" s="4">
        <v>544</v>
      </c>
      <c r="D49" s="4">
        <v>566.9</v>
      </c>
      <c r="E49" s="4">
        <v>534</v>
      </c>
      <c r="F49" s="4">
        <v>555.9</v>
      </c>
      <c r="G49" s="4">
        <v>623.4</v>
      </c>
      <c r="H49" s="4">
        <v>633.79999999999995</v>
      </c>
      <c r="I49" s="4">
        <v>609.20000000000005</v>
      </c>
      <c r="J49" s="4">
        <v>680.6</v>
      </c>
      <c r="K49" s="4">
        <v>738.7</v>
      </c>
      <c r="L49" s="4">
        <v>789.1</v>
      </c>
      <c r="M49" s="4">
        <v>819.4</v>
      </c>
      <c r="N49" s="4">
        <v>906.3</v>
      </c>
      <c r="O49" s="4">
        <v>947.9</v>
      </c>
      <c r="P49" s="4">
        <v>999.9</v>
      </c>
      <c r="Q49" s="4">
        <v>991.4</v>
      </c>
      <c r="R49" s="4">
        <v>1041.3</v>
      </c>
      <c r="S49" s="4">
        <v>1031.9000000000001</v>
      </c>
      <c r="T49" s="4">
        <v>1100.5999999999999</v>
      </c>
      <c r="U49" s="4">
        <v>1055.2</v>
      </c>
      <c r="V49" s="4">
        <v>1116</v>
      </c>
      <c r="W49" s="4">
        <v>1161.0999999999999</v>
      </c>
      <c r="X49" s="2">
        <v>1200</v>
      </c>
      <c r="Y49" s="19"/>
      <c r="Z49" s="19"/>
      <c r="AA49" s="19"/>
      <c r="AB49" s="4">
        <v>1074.0350000000001</v>
      </c>
      <c r="AC49" s="4">
        <v>1068.077</v>
      </c>
      <c r="AD49" s="4">
        <v>1105.8</v>
      </c>
      <c r="AE49" s="4">
        <v>1259.7</v>
      </c>
      <c r="AF49" s="4">
        <v>1575.9</v>
      </c>
      <c r="AG49" s="4">
        <v>1968.5</v>
      </c>
      <c r="AH49" s="4">
        <v>2200.8000000000002</v>
      </c>
      <c r="AI49" s="4">
        <v>2547</v>
      </c>
      <c r="AJ49" s="4">
        <v>3253.5</v>
      </c>
      <c r="AK49" s="4">
        <v>3980.6</v>
      </c>
      <c r="AL49" s="4">
        <v>4303.7</v>
      </c>
      <c r="AM49" s="4">
        <f t="shared" ref="AM49:BA49" si="45">+AL49*1.12</f>
        <v>4820.1440000000002</v>
      </c>
      <c r="AN49" s="4">
        <f t="shared" si="45"/>
        <v>5398.5612800000008</v>
      </c>
      <c r="AO49" s="4">
        <f t="shared" si="45"/>
        <v>6046.3886336000014</v>
      </c>
      <c r="AP49" s="4">
        <f t="shared" si="45"/>
        <v>6771.9552696320025</v>
      </c>
      <c r="AQ49" s="4">
        <f t="shared" si="45"/>
        <v>7584.5899019878434</v>
      </c>
      <c r="AR49" s="4">
        <f t="shared" si="45"/>
        <v>8494.7406902263847</v>
      </c>
      <c r="AS49" s="4">
        <f t="shared" si="45"/>
        <v>9514.1095730535526</v>
      </c>
      <c r="AT49" s="4">
        <f t="shared" si="45"/>
        <v>10655.80272181998</v>
      </c>
      <c r="AU49" s="4">
        <f t="shared" si="45"/>
        <v>11934.49904843838</v>
      </c>
      <c r="AV49" s="4">
        <f t="shared" si="45"/>
        <v>13366.638934250986</v>
      </c>
      <c r="AW49" s="4">
        <f t="shared" si="45"/>
        <v>14970.635606361106</v>
      </c>
      <c r="AX49" s="4">
        <f t="shared" si="45"/>
        <v>16767.111879124441</v>
      </c>
      <c r="AY49" s="4">
        <f t="shared" si="45"/>
        <v>18779.165304619375</v>
      </c>
      <c r="AZ49" s="4">
        <f t="shared" si="45"/>
        <v>21032.665141173704</v>
      </c>
      <c r="BA49" s="4">
        <f t="shared" si="45"/>
        <v>23556.584958114552</v>
      </c>
    </row>
    <row r="50" spans="2:149" x14ac:dyDescent="0.2">
      <c r="B50" t="s">
        <v>29</v>
      </c>
      <c r="C50" s="4">
        <v>130.69999999999999</v>
      </c>
      <c r="D50" s="4">
        <v>131.19999999999999</v>
      </c>
      <c r="E50" s="4">
        <v>131.5</v>
      </c>
      <c r="F50" s="4">
        <v>151.5</v>
      </c>
      <c r="G50" s="4">
        <v>168.4</v>
      </c>
      <c r="H50" s="4">
        <v>171.8</v>
      </c>
      <c r="I50" s="4">
        <v>182.9</v>
      </c>
      <c r="J50" s="4">
        <v>202.5</v>
      </c>
      <c r="K50" s="4">
        <v>207.7</v>
      </c>
      <c r="L50" s="4">
        <v>222</v>
      </c>
      <c r="M50" s="4">
        <v>235.8</v>
      </c>
      <c r="N50" s="4">
        <v>280.39999999999998</v>
      </c>
      <c r="O50" s="4">
        <v>260.3</v>
      </c>
      <c r="P50" s="4">
        <v>281.10000000000002</v>
      </c>
      <c r="Q50" s="4">
        <v>287.8</v>
      </c>
      <c r="R50" s="4">
        <v>284.10000000000002</v>
      </c>
      <c r="S50" s="4">
        <v>273.3</v>
      </c>
      <c r="T50" s="4">
        <v>277</v>
      </c>
      <c r="U50" s="4">
        <v>297</v>
      </c>
      <c r="V50" s="4">
        <v>318.39999999999998</v>
      </c>
      <c r="W50" s="4">
        <v>280.7</v>
      </c>
      <c r="X50" s="2">
        <v>300</v>
      </c>
      <c r="Y50" s="19"/>
      <c r="Z50" s="19"/>
      <c r="AA50" s="19"/>
      <c r="AB50" s="4">
        <v>321.11</v>
      </c>
      <c r="AC50" s="4">
        <v>345.73200000000003</v>
      </c>
      <c r="AD50" s="4">
        <v>374.8</v>
      </c>
      <c r="AE50" s="4">
        <v>416.6</v>
      </c>
      <c r="AF50" s="4">
        <v>488</v>
      </c>
      <c r="AG50" s="4">
        <v>520.5</v>
      </c>
      <c r="AH50" s="4">
        <v>544.9</v>
      </c>
      <c r="AI50" s="4">
        <v>725.6</v>
      </c>
      <c r="AJ50" s="4">
        <v>945.9</v>
      </c>
      <c r="AK50" s="4">
        <v>1113.2</v>
      </c>
      <c r="AL50" s="4">
        <v>1165.7</v>
      </c>
      <c r="AM50" s="4">
        <f t="shared" ref="AM50:BA50" si="46">+AL50*1.08</f>
        <v>1258.9560000000001</v>
      </c>
      <c r="AN50" s="4">
        <f t="shared" si="46"/>
        <v>1359.6724800000002</v>
      </c>
      <c r="AO50" s="4">
        <f t="shared" si="46"/>
        <v>1468.4462784000002</v>
      </c>
      <c r="AP50" s="4">
        <f t="shared" si="46"/>
        <v>1585.9219806720002</v>
      </c>
      <c r="AQ50" s="4">
        <f t="shared" si="46"/>
        <v>1712.7957391257603</v>
      </c>
      <c r="AR50" s="4">
        <f t="shared" si="46"/>
        <v>1849.8193982558212</v>
      </c>
      <c r="AS50" s="4">
        <f t="shared" si="46"/>
        <v>1997.804950116287</v>
      </c>
      <c r="AT50" s="4">
        <f t="shared" si="46"/>
        <v>2157.62934612559</v>
      </c>
      <c r="AU50" s="4">
        <f t="shared" si="46"/>
        <v>2330.2396938156376</v>
      </c>
      <c r="AV50" s="4">
        <f t="shared" si="46"/>
        <v>2516.6588693208887</v>
      </c>
      <c r="AW50" s="4">
        <f t="shared" si="46"/>
        <v>2717.9915788665598</v>
      </c>
      <c r="AX50" s="4">
        <f t="shared" si="46"/>
        <v>2935.4309051758846</v>
      </c>
      <c r="AY50" s="4">
        <f t="shared" si="46"/>
        <v>3170.2653775899557</v>
      </c>
      <c r="AZ50" s="4">
        <f t="shared" si="46"/>
        <v>3423.8866077971525</v>
      </c>
      <c r="BA50" s="4">
        <f t="shared" si="46"/>
        <v>3697.7975364209251</v>
      </c>
    </row>
    <row r="51" spans="2:149" x14ac:dyDescent="0.2">
      <c r="B51" t="s">
        <v>30</v>
      </c>
      <c r="C51" s="4">
        <f t="shared" ref="C51:I51" si="47">+C49+C50</f>
        <v>674.7</v>
      </c>
      <c r="D51" s="4">
        <f t="shared" si="47"/>
        <v>698.09999999999991</v>
      </c>
      <c r="E51" s="4">
        <f t="shared" si="47"/>
        <v>665.5</v>
      </c>
      <c r="F51" s="4">
        <f t="shared" si="47"/>
        <v>707.4</v>
      </c>
      <c r="G51" s="4">
        <f t="shared" si="47"/>
        <v>791.8</v>
      </c>
      <c r="H51" s="4">
        <f t="shared" si="47"/>
        <v>805.59999999999991</v>
      </c>
      <c r="I51" s="4">
        <f t="shared" si="47"/>
        <v>792.1</v>
      </c>
      <c r="J51" s="4">
        <f t="shared" ref="J51:R51" si="48">+J49+J50</f>
        <v>883.1</v>
      </c>
      <c r="K51" s="4">
        <f t="shared" si="48"/>
        <v>946.40000000000009</v>
      </c>
      <c r="L51" s="4">
        <f t="shared" si="48"/>
        <v>1011.1</v>
      </c>
      <c r="M51" s="4">
        <f t="shared" si="48"/>
        <v>1055.2</v>
      </c>
      <c r="N51" s="4">
        <f t="shared" si="48"/>
        <v>1186.6999999999998</v>
      </c>
      <c r="O51" s="4">
        <f t="shared" si="48"/>
        <v>1208.2</v>
      </c>
      <c r="P51" s="4">
        <f t="shared" si="48"/>
        <v>1281</v>
      </c>
      <c r="Q51" s="4">
        <f t="shared" si="48"/>
        <v>1279.2</v>
      </c>
      <c r="R51" s="4">
        <f t="shared" si="48"/>
        <v>1325.4</v>
      </c>
      <c r="S51" s="4">
        <f>+S49+S50</f>
        <v>1305.2</v>
      </c>
      <c r="T51" s="4">
        <f>+SUM(T49:T50)</f>
        <v>1377.6</v>
      </c>
      <c r="U51" s="4">
        <f>+SUM(U49:U50)</f>
        <v>1352.2</v>
      </c>
      <c r="V51" s="4">
        <f>+SUM(V49:V50)</f>
        <v>1434.4</v>
      </c>
      <c r="W51" s="4">
        <f>+SUM(W49:W50)</f>
        <v>1441.8</v>
      </c>
      <c r="X51" s="4">
        <f>+SUM(X49:X50)</f>
        <v>1500</v>
      </c>
      <c r="AB51" s="4">
        <f t="shared" ref="AB51:AK51" si="49">+SUM(AB49:AB50)</f>
        <v>1395.145</v>
      </c>
      <c r="AC51" s="4">
        <f t="shared" si="49"/>
        <v>1413.809</v>
      </c>
      <c r="AD51" s="4">
        <f t="shared" si="49"/>
        <v>1480.6</v>
      </c>
      <c r="AE51" s="4">
        <f t="shared" si="49"/>
        <v>1676.3000000000002</v>
      </c>
      <c r="AF51" s="4">
        <f t="shared" si="49"/>
        <v>2063.9</v>
      </c>
      <c r="AG51" s="4">
        <f t="shared" si="49"/>
        <v>2489</v>
      </c>
      <c r="AH51" s="4">
        <f t="shared" si="49"/>
        <v>2745.7000000000003</v>
      </c>
      <c r="AI51" s="4">
        <f t="shared" si="49"/>
        <v>3272.6</v>
      </c>
      <c r="AJ51" s="4">
        <f t="shared" si="49"/>
        <v>4199.3999999999996</v>
      </c>
      <c r="AK51" s="4">
        <f t="shared" si="49"/>
        <v>5093.8</v>
      </c>
      <c r="AL51" s="4">
        <f>+SUM(AL49:AL50)</f>
        <v>5469.4</v>
      </c>
      <c r="AM51" s="4">
        <f t="shared" ref="AM51:AV51" si="50">+SUM(AM49:AM50)</f>
        <v>6079.1</v>
      </c>
      <c r="AN51" s="4">
        <f t="shared" si="50"/>
        <v>6758.233760000001</v>
      </c>
      <c r="AO51" s="4">
        <f t="shared" si="50"/>
        <v>7514.8349120000021</v>
      </c>
      <c r="AP51" s="4">
        <f t="shared" si="50"/>
        <v>8357.8772503040018</v>
      </c>
      <c r="AQ51" s="4">
        <f t="shared" si="50"/>
        <v>9297.3856411136039</v>
      </c>
      <c r="AR51" s="4">
        <f t="shared" si="50"/>
        <v>10344.560088482205</v>
      </c>
      <c r="AS51" s="4">
        <f t="shared" si="50"/>
        <v>11511.91452316984</v>
      </c>
      <c r="AT51" s="4">
        <f t="shared" si="50"/>
        <v>12813.43206794557</v>
      </c>
      <c r="AU51" s="4">
        <f t="shared" si="50"/>
        <v>14264.738742254018</v>
      </c>
      <c r="AV51" s="4">
        <f t="shared" si="50"/>
        <v>15883.297803571875</v>
      </c>
      <c r="AW51" s="4">
        <f t="shared" ref="AW51:BA51" si="51">+SUM(AW49:AW50)</f>
        <v>17688.627185227666</v>
      </c>
      <c r="AX51" s="4">
        <f t="shared" si="51"/>
        <v>19702.542784300327</v>
      </c>
      <c r="AY51" s="4">
        <f t="shared" si="51"/>
        <v>21949.430682209331</v>
      </c>
      <c r="AZ51" s="4">
        <f t="shared" si="51"/>
        <v>24456.551748970858</v>
      </c>
      <c r="BA51" s="4">
        <f t="shared" si="51"/>
        <v>27254.382494535479</v>
      </c>
    </row>
    <row r="52" spans="2:149" x14ac:dyDescent="0.2">
      <c r="B52" t="s">
        <v>31</v>
      </c>
      <c r="C52" s="4">
        <f t="shared" ref="C52:T52" si="52">+C48-C51</f>
        <v>426.69999999999982</v>
      </c>
      <c r="D52" s="4">
        <f t="shared" si="52"/>
        <v>905.09999999999991</v>
      </c>
      <c r="E52" s="4">
        <f t="shared" si="52"/>
        <v>1215.9000000000001</v>
      </c>
      <c r="F52" s="4">
        <f t="shared" si="52"/>
        <v>1503.7000000000003</v>
      </c>
      <c r="G52" s="4">
        <f t="shared" si="52"/>
        <v>1560.5999999999997</v>
      </c>
      <c r="H52" s="4">
        <f t="shared" si="52"/>
        <v>1239</v>
      </c>
      <c r="I52" s="4">
        <f t="shared" si="52"/>
        <v>1919.3000000000002</v>
      </c>
      <c r="J52" s="4">
        <f t="shared" si="52"/>
        <v>1817.5000000000005</v>
      </c>
      <c r="K52" s="4">
        <f t="shared" si="52"/>
        <v>784.59999999999991</v>
      </c>
      <c r="L52" s="4">
        <f t="shared" si="52"/>
        <v>1653.4</v>
      </c>
      <c r="M52" s="4">
        <f t="shared" si="52"/>
        <v>1938.5000000000002</v>
      </c>
      <c r="N52" s="4">
        <f t="shared" si="52"/>
        <v>2124.1999999999998</v>
      </c>
      <c r="O52" s="4">
        <f t="shared" si="52"/>
        <v>2205</v>
      </c>
      <c r="P52" s="4">
        <f t="shared" si="52"/>
        <v>2263</v>
      </c>
      <c r="Q52" s="4">
        <f t="shared" si="52"/>
        <v>2182.3999999999996</v>
      </c>
      <c r="R52" s="4">
        <f t="shared" si="52"/>
        <v>2391.9</v>
      </c>
      <c r="S52" s="4">
        <f t="shared" si="52"/>
        <v>1391.3999999999999</v>
      </c>
      <c r="T52" s="4">
        <f t="shared" si="52"/>
        <v>1834.5999999999995</v>
      </c>
      <c r="U52" s="4">
        <f t="shared" ref="U52:W52" si="53">+U48-U51</f>
        <v>2441.1999999999998</v>
      </c>
      <c r="V52" s="4">
        <f t="shared" si="53"/>
        <v>3355.3999999999992</v>
      </c>
      <c r="W52" s="4">
        <f t="shared" si="53"/>
        <v>2737.8999999999996</v>
      </c>
      <c r="AB52" s="4">
        <f t="shared" ref="AB52:AK52" si="54">+AB48-AB51</f>
        <v>1201.2289999999998</v>
      </c>
      <c r="AC52" s="4">
        <f t="shared" si="54"/>
        <v>1481.9349999999997</v>
      </c>
      <c r="AD52" s="4">
        <f t="shared" si="54"/>
        <v>1664.6999999999994</v>
      </c>
      <c r="AE52" s="4">
        <f t="shared" si="54"/>
        <v>2343.9000000000005</v>
      </c>
      <c r="AF52" s="4">
        <f t="shared" si="54"/>
        <v>2965.3000000000006</v>
      </c>
      <c r="AG52" s="4">
        <f t="shared" si="54"/>
        <v>2790.8</v>
      </c>
      <c r="AH52" s="4">
        <f t="shared" si="54"/>
        <v>4051.4999999999995</v>
      </c>
      <c r="AI52" s="4">
        <f t="shared" si="54"/>
        <v>6536.4</v>
      </c>
      <c r="AJ52" s="4">
        <f t="shared" si="54"/>
        <v>6500.7000000000025</v>
      </c>
      <c r="AK52" s="4">
        <f t="shared" si="54"/>
        <v>9042.2999999999993</v>
      </c>
      <c r="AL52" s="4">
        <f t="shared" ref="AL52:AV52" si="55">+AL48-AL51</f>
        <v>9022.6000000000022</v>
      </c>
      <c r="AM52" s="4">
        <f t="shared" si="55"/>
        <v>10275.227000000001</v>
      </c>
      <c r="AN52" s="4">
        <f t="shared" si="55"/>
        <v>11673.571830000003</v>
      </c>
      <c r="AO52" s="4">
        <f t="shared" si="55"/>
        <v>13233.140339300004</v>
      </c>
      <c r="AP52" s="4">
        <f t="shared" si="55"/>
        <v>14970.993865587006</v>
      </c>
      <c r="AQ52" s="4">
        <f t="shared" si="55"/>
        <v>16905.897809589776</v>
      </c>
      <c r="AR52" s="4">
        <f t="shared" si="55"/>
        <v>19058.483696140414</v>
      </c>
      <c r="AS52" s="4">
        <f t="shared" si="55"/>
        <v>21451.425867983366</v>
      </c>
      <c r="AT52" s="4">
        <f t="shared" si="55"/>
        <v>24109.634046356063</v>
      </c>
      <c r="AU52" s="4">
        <f t="shared" si="55"/>
        <v>27060.46308539321</v>
      </c>
      <c r="AV52" s="4">
        <f t="shared" si="55"/>
        <v>30333.94134588958</v>
      </c>
      <c r="AW52" s="4">
        <f t="shared" ref="AW52:BA52" si="56">+AW48-AW51</f>
        <v>33963.019217962908</v>
      </c>
      <c r="AX52" s="4">
        <f t="shared" si="56"/>
        <v>37983.839431707092</v>
      </c>
      <c r="AY52" s="4">
        <f t="shared" si="56"/>
        <v>42436.03090997145</v>
      </c>
      <c r="AZ52" s="4">
        <f t="shared" si="56"/>
        <v>47363.028037820724</v>
      </c>
      <c r="BA52" s="4">
        <f t="shared" si="56"/>
        <v>52812.417348805458</v>
      </c>
    </row>
    <row r="53" spans="2:149" x14ac:dyDescent="0.2">
      <c r="B53" t="s">
        <v>32</v>
      </c>
      <c r="C53" s="4">
        <v>-11.4</v>
      </c>
      <c r="D53" s="4">
        <v>-7.1</v>
      </c>
      <c r="E53" s="4">
        <v>-8.4</v>
      </c>
      <c r="F53" s="4">
        <v>-8</v>
      </c>
      <c r="G53" s="4">
        <v>-12.1</v>
      </c>
      <c r="H53" s="4">
        <v>-9.8000000000000007</v>
      </c>
      <c r="I53" s="4">
        <v>-10.5</v>
      </c>
      <c r="J53" s="4">
        <v>-12.2</v>
      </c>
      <c r="K53" s="4">
        <v>-15.6</v>
      </c>
      <c r="L53" s="4">
        <v>-10.8</v>
      </c>
      <c r="M53" s="4">
        <v>-15.1</v>
      </c>
      <c r="N53" s="4">
        <v>-3.1</v>
      </c>
      <c r="O53" s="4">
        <v>12.2</v>
      </c>
      <c r="P53" s="4">
        <v>16.7</v>
      </c>
      <c r="Q53" s="4">
        <v>7.1</v>
      </c>
      <c r="R53" s="4">
        <v>5.2</v>
      </c>
      <c r="S53" s="4">
        <v>26.2</v>
      </c>
      <c r="T53" s="4">
        <v>-11.9</v>
      </c>
      <c r="U53" s="4">
        <v>-0.8</v>
      </c>
      <c r="V53" s="4">
        <v>6.3</v>
      </c>
      <c r="W53" s="4">
        <v>49.2</v>
      </c>
      <c r="AB53" s="4">
        <v>-8.6</v>
      </c>
      <c r="AC53" s="4">
        <v>-16.515000000000001</v>
      </c>
      <c r="AD53" s="4">
        <v>33.700000000000003</v>
      </c>
      <c r="AE53" s="4">
        <v>-50.3</v>
      </c>
      <c r="AF53" s="4">
        <v>-28.3</v>
      </c>
      <c r="AG53" s="4">
        <v>-25</v>
      </c>
      <c r="AH53" s="4">
        <v>-34.9</v>
      </c>
      <c r="AI53" s="4">
        <v>-44.6</v>
      </c>
      <c r="AJ53" s="4">
        <v>-44.6</v>
      </c>
      <c r="AK53" s="4">
        <v>41.2</v>
      </c>
      <c r="AL53" s="4">
        <v>19.8</v>
      </c>
      <c r="AM53" s="4">
        <f t="shared" ref="AM53:AV53" si="57">+AL68*$BC$70</f>
        <v>310.90000000000009</v>
      </c>
      <c r="AN53" s="4">
        <f t="shared" si="57"/>
        <v>649.65606400000013</v>
      </c>
      <c r="AO53" s="4">
        <f t="shared" si="57"/>
        <v>1043.9993566080002</v>
      </c>
      <c r="AP53" s="4">
        <f t="shared" si="57"/>
        <v>1500.8678268770566</v>
      </c>
      <c r="AQ53" s="4">
        <f t="shared" si="57"/>
        <v>2027.9674010359065</v>
      </c>
      <c r="AR53" s="4">
        <f t="shared" si="57"/>
        <v>2633.8510877759286</v>
      </c>
      <c r="AS53" s="4">
        <f t="shared" si="57"/>
        <v>3328.0058008612514</v>
      </c>
      <c r="AT53" s="4">
        <f t="shared" si="57"/>
        <v>4120.9476142642789</v>
      </c>
      <c r="AU53" s="4">
        <f t="shared" si="57"/>
        <v>5024.3262274041299</v>
      </c>
      <c r="AV53" s="4">
        <f t="shared" si="57"/>
        <v>6051.0394854136439</v>
      </c>
      <c r="AW53" s="4">
        <f t="shared" ref="AW53:BA53" si="58">+AV68*$BC$70</f>
        <v>7215.3588720153475</v>
      </c>
      <c r="AX53" s="4">
        <f t="shared" si="58"/>
        <v>8533.0669708946516</v>
      </c>
      <c r="AY53" s="4">
        <f t="shared" si="58"/>
        <v>10021.607975777906</v>
      </c>
      <c r="AZ53" s="4">
        <f t="shared" si="58"/>
        <v>11700.252420121886</v>
      </c>
      <c r="BA53" s="4">
        <f t="shared" si="58"/>
        <v>13590.277394776049</v>
      </c>
    </row>
    <row r="54" spans="2:149" x14ac:dyDescent="0.2">
      <c r="B54" t="s">
        <v>33</v>
      </c>
      <c r="C54" s="4">
        <f>+C52+C53</f>
        <v>415.29999999999984</v>
      </c>
      <c r="D54" s="4">
        <f t="shared" ref="D54:T54" si="59">+D52+D53</f>
        <v>897.99999999999989</v>
      </c>
      <c r="E54" s="4">
        <f t="shared" si="59"/>
        <v>1207.5</v>
      </c>
      <c r="F54" s="4">
        <f t="shared" si="59"/>
        <v>1495.7000000000003</v>
      </c>
      <c r="G54" s="4">
        <f t="shared" si="59"/>
        <v>1548.4999999999998</v>
      </c>
      <c r="H54" s="4">
        <f t="shared" si="59"/>
        <v>1229.2</v>
      </c>
      <c r="I54" s="4">
        <f t="shared" si="59"/>
        <v>1908.8000000000002</v>
      </c>
      <c r="J54" s="4">
        <f t="shared" si="59"/>
        <v>1805.3000000000004</v>
      </c>
      <c r="K54" s="4">
        <f t="shared" si="59"/>
        <v>768.99999999999989</v>
      </c>
      <c r="L54" s="4">
        <f t="shared" si="59"/>
        <v>1642.6000000000001</v>
      </c>
      <c r="M54" s="4">
        <f t="shared" si="59"/>
        <v>1923.4000000000003</v>
      </c>
      <c r="N54" s="4">
        <f t="shared" si="59"/>
        <v>2121.1</v>
      </c>
      <c r="O54" s="4">
        <f t="shared" si="59"/>
        <v>2217.1999999999998</v>
      </c>
      <c r="P54" s="4">
        <f t="shared" si="59"/>
        <v>2279.6999999999998</v>
      </c>
      <c r="Q54" s="4">
        <f t="shared" si="59"/>
        <v>2189.4999999999995</v>
      </c>
      <c r="R54" s="4">
        <f t="shared" si="59"/>
        <v>2397.1</v>
      </c>
      <c r="S54" s="4">
        <f t="shared" si="59"/>
        <v>1417.6</v>
      </c>
      <c r="T54" s="4">
        <f t="shared" si="59"/>
        <v>1822.6999999999994</v>
      </c>
      <c r="U54" s="4">
        <f t="shared" ref="U54:V54" si="60">+U52+U53</f>
        <v>2440.3999999999996</v>
      </c>
      <c r="V54" s="4">
        <f t="shared" si="60"/>
        <v>3361.6999999999994</v>
      </c>
      <c r="W54" s="4">
        <f>+W52+W53</f>
        <v>2787.0999999999995</v>
      </c>
      <c r="AB54" s="4">
        <f t="shared" ref="AB54:AD54" si="61">+AB52+AB53</f>
        <v>1192.6289999999999</v>
      </c>
      <c r="AC54" s="4">
        <f t="shared" si="61"/>
        <v>1465.4199999999996</v>
      </c>
      <c r="AD54" s="4">
        <f t="shared" si="61"/>
        <v>1698.3999999999994</v>
      </c>
      <c r="AE54" s="4">
        <f t="shared" ref="AE54:AG54" si="62">+AE52+AE53</f>
        <v>2293.6000000000004</v>
      </c>
      <c r="AF54" s="4">
        <f t="shared" si="62"/>
        <v>2937.0000000000005</v>
      </c>
      <c r="AG54" s="4">
        <f t="shared" si="62"/>
        <v>2765.8</v>
      </c>
      <c r="AH54" s="4">
        <f t="shared" ref="AH54:AI54" si="63">+AH52+AH53</f>
        <v>4016.5999999999995</v>
      </c>
      <c r="AI54" s="4">
        <f t="shared" si="63"/>
        <v>6491.7999999999993</v>
      </c>
      <c r="AJ54" s="4">
        <f t="shared" ref="AJ54:AV54" si="64">+AJ52+AJ53</f>
        <v>6456.1000000000022</v>
      </c>
      <c r="AK54" s="4">
        <f t="shared" si="64"/>
        <v>9083.5</v>
      </c>
      <c r="AL54" s="4">
        <f t="shared" si="64"/>
        <v>9042.4000000000015</v>
      </c>
      <c r="AM54" s="4">
        <f t="shared" si="64"/>
        <v>10586.127</v>
      </c>
      <c r="AN54" s="4">
        <f t="shared" si="64"/>
        <v>12323.227894000003</v>
      </c>
      <c r="AO54" s="4">
        <f t="shared" si="64"/>
        <v>14277.139695908005</v>
      </c>
      <c r="AP54" s="4">
        <f t="shared" si="64"/>
        <v>16471.861692464063</v>
      </c>
      <c r="AQ54" s="4">
        <f t="shared" si="64"/>
        <v>18933.865210625681</v>
      </c>
      <c r="AR54" s="4">
        <f t="shared" si="64"/>
        <v>21692.334783916343</v>
      </c>
      <c r="AS54" s="4">
        <f t="shared" si="64"/>
        <v>24779.431668844616</v>
      </c>
      <c r="AT54" s="4">
        <f t="shared" si="64"/>
        <v>28230.581660620341</v>
      </c>
      <c r="AU54" s="4">
        <f t="shared" si="64"/>
        <v>32084.78931279734</v>
      </c>
      <c r="AV54" s="4">
        <f t="shared" si="64"/>
        <v>36384.980831303226</v>
      </c>
      <c r="AW54" s="4">
        <f t="shared" ref="AW54:BA54" si="65">+AW52+AW53</f>
        <v>41178.378089978258</v>
      </c>
      <c r="AX54" s="4">
        <f t="shared" si="65"/>
        <v>46516.906402601744</v>
      </c>
      <c r="AY54" s="4">
        <f t="shared" si="65"/>
        <v>52457.638885749358</v>
      </c>
      <c r="AZ54" s="4">
        <f t="shared" si="65"/>
        <v>59063.280457942608</v>
      </c>
      <c r="BA54" s="4">
        <f t="shared" si="65"/>
        <v>66402.694743581509</v>
      </c>
    </row>
    <row r="55" spans="2:149" x14ac:dyDescent="0.2">
      <c r="B55" t="s">
        <v>34</v>
      </c>
      <c r="C55" s="4">
        <v>48.5</v>
      </c>
      <c r="D55" s="4">
        <v>166.4</v>
      </c>
      <c r="E55" s="4">
        <v>166.5</v>
      </c>
      <c r="F55" s="4">
        <v>170.2</v>
      </c>
      <c r="G55" s="4">
        <v>230.3</v>
      </c>
      <c r="H55" s="4">
        <v>204.2</v>
      </c>
      <c r="I55" s="4">
        <v>270.89999999999998</v>
      </c>
      <c r="J55" s="4">
        <v>316</v>
      </c>
      <c r="K55" s="4">
        <v>114.4</v>
      </c>
      <c r="L55" s="4">
        <v>246.2</v>
      </c>
      <c r="M55" s="4">
        <v>252</v>
      </c>
      <c r="N55" s="4">
        <v>357.3</v>
      </c>
      <c r="O55" s="4">
        <v>302.60000000000002</v>
      </c>
      <c r="P55" s="4">
        <v>403.9</v>
      </c>
      <c r="Q55" s="4">
        <v>343.7</v>
      </c>
      <c r="R55" s="4">
        <v>385.6</v>
      </c>
      <c r="S55" s="4">
        <v>224</v>
      </c>
      <c r="T55" s="4">
        <v>291.60000000000002</v>
      </c>
      <c r="U55" s="4">
        <v>441.2</v>
      </c>
      <c r="V55" s="4">
        <v>723.8</v>
      </c>
      <c r="W55" s="4">
        <v>465.1</v>
      </c>
      <c r="AB55" s="4">
        <v>76.995000000000005</v>
      </c>
      <c r="AC55" s="4">
        <v>161.446</v>
      </c>
      <c r="AD55" s="4">
        <v>234.4</v>
      </c>
      <c r="AE55" s="4">
        <v>306</v>
      </c>
      <c r="AF55" s="4">
        <v>351.6</v>
      </c>
      <c r="AG55" s="4">
        <v>191.7</v>
      </c>
      <c r="AH55" s="4">
        <v>551.5</v>
      </c>
      <c r="AI55" s="4">
        <v>1021.4</v>
      </c>
      <c r="AJ55" s="4">
        <v>969.9</v>
      </c>
      <c r="AK55" s="4">
        <v>1435.8</v>
      </c>
      <c r="AL55" s="4">
        <v>1680.6</v>
      </c>
      <c r="AM55" s="4">
        <f t="shared" ref="AM55:AV55" si="66">+AM54*0.2</f>
        <v>2117.2254000000003</v>
      </c>
      <c r="AN55" s="4">
        <f t="shared" si="66"/>
        <v>2464.6455788000007</v>
      </c>
      <c r="AO55" s="4">
        <f t="shared" si="66"/>
        <v>2855.4279391816012</v>
      </c>
      <c r="AP55" s="4">
        <f t="shared" si="66"/>
        <v>3294.3723384928126</v>
      </c>
      <c r="AQ55" s="4">
        <f t="shared" si="66"/>
        <v>3786.7730421251363</v>
      </c>
      <c r="AR55" s="4">
        <f t="shared" si="66"/>
        <v>4338.4669567832689</v>
      </c>
      <c r="AS55" s="4">
        <f t="shared" si="66"/>
        <v>4955.8863337689236</v>
      </c>
      <c r="AT55" s="4">
        <f t="shared" si="66"/>
        <v>5646.1163321240683</v>
      </c>
      <c r="AU55" s="4">
        <f t="shared" si="66"/>
        <v>6416.9578625594686</v>
      </c>
      <c r="AV55" s="4">
        <f t="shared" si="66"/>
        <v>7276.9961662606456</v>
      </c>
      <c r="AW55" s="4">
        <f t="shared" ref="AW55:BA55" si="67">+AW54*0.2</f>
        <v>8235.6756179956519</v>
      </c>
      <c r="AX55" s="4">
        <f t="shared" si="67"/>
        <v>9303.3812805203488</v>
      </c>
      <c r="AY55" s="4">
        <f t="shared" si="67"/>
        <v>10491.527777149873</v>
      </c>
      <c r="AZ55" s="4">
        <f t="shared" si="67"/>
        <v>11812.656091588522</v>
      </c>
      <c r="BA55" s="4">
        <f t="shared" si="67"/>
        <v>13280.538948716303</v>
      </c>
    </row>
    <row r="56" spans="2:149" s="9" customFormat="1" x14ac:dyDescent="0.2">
      <c r="B56" s="8" t="s">
        <v>35</v>
      </c>
      <c r="C56" s="9">
        <f t="shared" ref="C56:R56" si="68">+C54-C55</f>
        <v>366.79999999999984</v>
      </c>
      <c r="D56" s="9">
        <f t="shared" si="68"/>
        <v>731.59999999999991</v>
      </c>
      <c r="E56" s="9">
        <f t="shared" si="68"/>
        <v>1041</v>
      </c>
      <c r="F56" s="9">
        <f t="shared" si="68"/>
        <v>1325.5000000000002</v>
      </c>
      <c r="G56" s="9">
        <f t="shared" si="68"/>
        <v>1318.1999999999998</v>
      </c>
      <c r="H56" s="9">
        <f t="shared" si="68"/>
        <v>1025</v>
      </c>
      <c r="I56" s="9">
        <f t="shared" si="68"/>
        <v>1637.9</v>
      </c>
      <c r="J56" s="9">
        <f t="shared" si="68"/>
        <v>1489.3000000000004</v>
      </c>
      <c r="K56" s="9">
        <f t="shared" si="68"/>
        <v>654.59999999999991</v>
      </c>
      <c r="L56" s="9">
        <f t="shared" si="68"/>
        <v>1396.4</v>
      </c>
      <c r="M56" s="9">
        <f t="shared" si="68"/>
        <v>1671.4000000000003</v>
      </c>
      <c r="N56" s="9">
        <f t="shared" si="68"/>
        <v>1763.8</v>
      </c>
      <c r="O56" s="9">
        <f t="shared" si="68"/>
        <v>1914.6</v>
      </c>
      <c r="P56" s="9">
        <f t="shared" si="68"/>
        <v>1875.7999999999997</v>
      </c>
      <c r="Q56" s="9">
        <f t="shared" si="68"/>
        <v>1845.7999999999995</v>
      </c>
      <c r="R56" s="9">
        <f t="shared" si="68"/>
        <v>2011.5</v>
      </c>
      <c r="S56" s="9">
        <f>+S54-S55</f>
        <v>1193.5999999999999</v>
      </c>
      <c r="T56" s="9">
        <f>+T54-T55</f>
        <v>1531.0999999999995</v>
      </c>
      <c r="U56" s="9">
        <f>+U54-U55</f>
        <v>1999.1999999999996</v>
      </c>
      <c r="V56" s="9">
        <f>+V54-V55</f>
        <v>2637.8999999999996</v>
      </c>
      <c r="W56" s="9">
        <f>+W54-W55</f>
        <v>2321.9999999999995</v>
      </c>
      <c r="X56" s="16"/>
      <c r="AB56" s="9">
        <f t="shared" ref="AB56:AV56" si="69">+AB54-AB55</f>
        <v>1115.634</v>
      </c>
      <c r="AC56" s="9">
        <f t="shared" si="69"/>
        <v>1303.9739999999997</v>
      </c>
      <c r="AD56" s="9">
        <f t="shared" si="69"/>
        <v>1463.9999999999993</v>
      </c>
      <c r="AE56" s="9">
        <f t="shared" si="69"/>
        <v>1987.6000000000004</v>
      </c>
      <c r="AF56" s="9">
        <f t="shared" si="69"/>
        <v>2585.4000000000005</v>
      </c>
      <c r="AG56" s="9">
        <f t="shared" si="69"/>
        <v>2574.1000000000004</v>
      </c>
      <c r="AH56" s="9">
        <f t="shared" si="69"/>
        <v>3465.0999999999995</v>
      </c>
      <c r="AI56" s="9">
        <f t="shared" si="69"/>
        <v>5470.4</v>
      </c>
      <c r="AJ56" s="9">
        <f t="shared" si="69"/>
        <v>5486.2000000000025</v>
      </c>
      <c r="AK56" s="9">
        <f t="shared" si="69"/>
        <v>7647.7</v>
      </c>
      <c r="AL56" s="9">
        <f>+AL54-AL55</f>
        <v>7361.8000000000011</v>
      </c>
      <c r="AM56" s="9">
        <f t="shared" si="69"/>
        <v>8468.9016000000011</v>
      </c>
      <c r="AN56" s="9">
        <f t="shared" si="69"/>
        <v>9858.582315200003</v>
      </c>
      <c r="AO56" s="9">
        <f t="shared" si="69"/>
        <v>11421.711756726403</v>
      </c>
      <c r="AP56" s="9">
        <f t="shared" si="69"/>
        <v>13177.48935397125</v>
      </c>
      <c r="AQ56" s="9">
        <f t="shared" si="69"/>
        <v>15147.092168500545</v>
      </c>
      <c r="AR56" s="9">
        <f t="shared" si="69"/>
        <v>17353.867827133075</v>
      </c>
      <c r="AS56" s="9">
        <f t="shared" si="69"/>
        <v>19823.545335075694</v>
      </c>
      <c r="AT56" s="9">
        <f t="shared" si="69"/>
        <v>22584.465328496273</v>
      </c>
      <c r="AU56" s="9">
        <f t="shared" si="69"/>
        <v>25667.831450237871</v>
      </c>
      <c r="AV56" s="9">
        <f t="shared" si="69"/>
        <v>29107.984665042582</v>
      </c>
      <c r="AW56" s="9">
        <f t="shared" ref="AW56:BA56" si="70">+AW54-AW55</f>
        <v>32942.702471982608</v>
      </c>
      <c r="AX56" s="9">
        <f t="shared" si="70"/>
        <v>37213.525122081395</v>
      </c>
      <c r="AY56" s="9">
        <f t="shared" si="70"/>
        <v>41966.111108599485</v>
      </c>
      <c r="AZ56" s="9">
        <f t="shared" si="70"/>
        <v>47250.624366354088</v>
      </c>
      <c r="BA56" s="9">
        <f t="shared" si="70"/>
        <v>53122.155794865204</v>
      </c>
      <c r="BB56" s="9">
        <f t="shared" ref="BB56:CG56" si="71">+BA56*(1+$BC$71)</f>
        <v>52590.934236916553</v>
      </c>
      <c r="BC56" s="9">
        <f t="shared" si="71"/>
        <v>52065.024894547387</v>
      </c>
      <c r="BD56" s="9">
        <f t="shared" si="71"/>
        <v>51544.374645601914</v>
      </c>
      <c r="BE56" s="9">
        <f t="shared" si="71"/>
        <v>51028.930899145897</v>
      </c>
      <c r="BF56" s="9">
        <f t="shared" si="71"/>
        <v>50518.641590154439</v>
      </c>
      <c r="BG56" s="9">
        <f t="shared" si="71"/>
        <v>50013.455174252893</v>
      </c>
      <c r="BH56" s="9">
        <f t="shared" si="71"/>
        <v>49513.320622510364</v>
      </c>
      <c r="BI56" s="9">
        <f t="shared" si="71"/>
        <v>49018.187416285262</v>
      </c>
      <c r="BJ56" s="9">
        <f t="shared" si="71"/>
        <v>48528.00554212241</v>
      </c>
      <c r="BK56" s="9">
        <f t="shared" si="71"/>
        <v>48042.725486701187</v>
      </c>
      <c r="BL56" s="9">
        <f t="shared" si="71"/>
        <v>47562.298231834175</v>
      </c>
      <c r="BM56" s="9">
        <f t="shared" si="71"/>
        <v>47086.675249515829</v>
      </c>
      <c r="BN56" s="9">
        <f t="shared" si="71"/>
        <v>46615.808497020669</v>
      </c>
      <c r="BO56" s="9">
        <f t="shared" si="71"/>
        <v>46149.650412050461</v>
      </c>
      <c r="BP56" s="9">
        <f t="shared" si="71"/>
        <v>45688.153907929955</v>
      </c>
      <c r="BQ56" s="9">
        <f t="shared" si="71"/>
        <v>45231.272368850652</v>
      </c>
      <c r="BR56" s="9">
        <f t="shared" si="71"/>
        <v>44778.959645162147</v>
      </c>
      <c r="BS56" s="9">
        <f t="shared" si="71"/>
        <v>44331.170048710526</v>
      </c>
      <c r="BT56" s="9">
        <f t="shared" si="71"/>
        <v>43887.858348223417</v>
      </c>
      <c r="BU56" s="9">
        <f t="shared" si="71"/>
        <v>43448.979764741183</v>
      </c>
      <c r="BV56" s="9">
        <f t="shared" si="71"/>
        <v>43014.489967093774</v>
      </c>
      <c r="BW56" s="9">
        <f t="shared" si="71"/>
        <v>42584.345067422837</v>
      </c>
      <c r="BX56" s="9">
        <f t="shared" si="71"/>
        <v>42158.50161674861</v>
      </c>
      <c r="BY56" s="9">
        <f t="shared" si="71"/>
        <v>41736.91660058112</v>
      </c>
      <c r="BZ56" s="9">
        <f t="shared" si="71"/>
        <v>41319.54743457531</v>
      </c>
      <c r="CA56" s="9">
        <f t="shared" si="71"/>
        <v>40906.351960229556</v>
      </c>
      <c r="CB56" s="9">
        <f t="shared" si="71"/>
        <v>40497.288440627257</v>
      </c>
      <c r="CC56" s="9">
        <f t="shared" si="71"/>
        <v>40092.315556220987</v>
      </c>
      <c r="CD56" s="9">
        <f t="shared" si="71"/>
        <v>39691.392400658777</v>
      </c>
      <c r="CE56" s="9">
        <f t="shared" si="71"/>
        <v>39294.478476652192</v>
      </c>
      <c r="CF56" s="9">
        <f t="shared" si="71"/>
        <v>38901.53369188567</v>
      </c>
      <c r="CG56" s="9">
        <f t="shared" si="71"/>
        <v>38512.518354966815</v>
      </c>
      <c r="CH56" s="9">
        <f t="shared" ref="CH56:DM56" si="72">+CG56*(1+$BC$71)</f>
        <v>38127.393171417149</v>
      </c>
      <c r="CI56" s="9">
        <f t="shared" si="72"/>
        <v>37746.119239702974</v>
      </c>
      <c r="CJ56" s="9">
        <f t="shared" si="72"/>
        <v>37368.658047305944</v>
      </c>
      <c r="CK56" s="9">
        <f t="shared" si="72"/>
        <v>36994.971466832882</v>
      </c>
      <c r="CL56" s="9">
        <f t="shared" si="72"/>
        <v>36625.021752164554</v>
      </c>
      <c r="CM56" s="9">
        <f t="shared" si="72"/>
        <v>36258.77153464291</v>
      </c>
      <c r="CN56" s="9">
        <f t="shared" si="72"/>
        <v>35896.183819296479</v>
      </c>
      <c r="CO56" s="9">
        <f t="shared" si="72"/>
        <v>35537.22198110351</v>
      </c>
      <c r="CP56" s="9">
        <f t="shared" si="72"/>
        <v>35181.849761292477</v>
      </c>
      <c r="CQ56" s="9">
        <f t="shared" si="72"/>
        <v>34830.03126367955</v>
      </c>
      <c r="CR56" s="9">
        <f t="shared" si="72"/>
        <v>34481.730951042751</v>
      </c>
      <c r="CS56" s="9">
        <f t="shared" si="72"/>
        <v>34136.913641532323</v>
      </c>
      <c r="CT56" s="9">
        <f t="shared" si="72"/>
        <v>33795.544505117003</v>
      </c>
      <c r="CU56" s="9">
        <f t="shared" si="72"/>
        <v>33457.589060065831</v>
      </c>
      <c r="CV56" s="9">
        <f t="shared" si="72"/>
        <v>33123.013169465172</v>
      </c>
      <c r="CW56" s="9">
        <f t="shared" si="72"/>
        <v>32791.783037770518</v>
      </c>
      <c r="CX56" s="9">
        <f t="shared" si="72"/>
        <v>32463.865207392813</v>
      </c>
      <c r="CY56" s="9">
        <f t="shared" si="72"/>
        <v>32139.226555318884</v>
      </c>
      <c r="CZ56" s="9">
        <f t="shared" si="72"/>
        <v>31817.834289765695</v>
      </c>
      <c r="DA56" s="9">
        <f t="shared" si="72"/>
        <v>31499.655946868039</v>
      </c>
      <c r="DB56" s="9">
        <f t="shared" si="72"/>
        <v>31184.659387399359</v>
      </c>
      <c r="DC56" s="9">
        <f t="shared" si="72"/>
        <v>30872.812793525365</v>
      </c>
      <c r="DD56" s="9">
        <f t="shared" si="72"/>
        <v>30564.084665590111</v>
      </c>
      <c r="DE56" s="9">
        <f t="shared" si="72"/>
        <v>30258.443818934211</v>
      </c>
      <c r="DF56" s="9">
        <f t="shared" si="72"/>
        <v>29955.859380744867</v>
      </c>
      <c r="DG56" s="9">
        <f t="shared" si="72"/>
        <v>29656.30078693742</v>
      </c>
      <c r="DH56" s="9">
        <f t="shared" si="72"/>
        <v>29359.737779068044</v>
      </c>
      <c r="DI56" s="9">
        <f t="shared" si="72"/>
        <v>29066.140401277364</v>
      </c>
      <c r="DJ56" s="9">
        <f t="shared" si="72"/>
        <v>28775.478997264589</v>
      </c>
      <c r="DK56" s="9">
        <f t="shared" si="72"/>
        <v>28487.724207291943</v>
      </c>
      <c r="DL56" s="9">
        <f t="shared" si="72"/>
        <v>28202.846965219025</v>
      </c>
      <c r="DM56" s="9">
        <f t="shared" si="72"/>
        <v>27920.818495566833</v>
      </c>
      <c r="DN56" s="9">
        <f t="shared" ref="DN56:ES56" si="73">+DM56*(1+$BC$71)</f>
        <v>27641.610310611166</v>
      </c>
      <c r="DO56" s="9">
        <f t="shared" si="73"/>
        <v>27365.194207505054</v>
      </c>
      <c r="DP56" s="9">
        <f t="shared" si="73"/>
        <v>27091.542265430002</v>
      </c>
      <c r="DQ56" s="9">
        <f t="shared" si="73"/>
        <v>26820.626842775702</v>
      </c>
      <c r="DR56" s="9">
        <f t="shared" si="73"/>
        <v>26552.420574347943</v>
      </c>
      <c r="DS56" s="9">
        <f t="shared" si="73"/>
        <v>26286.896368604463</v>
      </c>
      <c r="DT56" s="9">
        <f t="shared" si="73"/>
        <v>26024.027404918419</v>
      </c>
      <c r="DU56" s="9">
        <f t="shared" si="73"/>
        <v>25763.787130869234</v>
      </c>
      <c r="DV56" s="9">
        <f t="shared" si="73"/>
        <v>25506.149259560541</v>
      </c>
      <c r="DW56" s="9">
        <f t="shared" si="73"/>
        <v>25251.087766964934</v>
      </c>
      <c r="DX56" s="9">
        <f t="shared" si="73"/>
        <v>24998.576889295284</v>
      </c>
      <c r="DY56" s="9">
        <f t="shared" si="73"/>
        <v>24748.591120402332</v>
      </c>
      <c r="DZ56" s="9">
        <f t="shared" si="73"/>
        <v>24501.105209198307</v>
      </c>
      <c r="EA56" s="9">
        <f t="shared" si="73"/>
        <v>24256.094157106323</v>
      </c>
      <c r="EB56" s="9">
        <f t="shared" si="73"/>
        <v>24013.533215535259</v>
      </c>
      <c r="EC56" s="9">
        <f t="shared" si="73"/>
        <v>23773.397883379905</v>
      </c>
      <c r="ED56" s="9">
        <f t="shared" si="73"/>
        <v>23535.663904546105</v>
      </c>
      <c r="EE56" s="9">
        <f t="shared" si="73"/>
        <v>23300.307265500644</v>
      </c>
      <c r="EF56" s="9">
        <f t="shared" si="73"/>
        <v>23067.304192845637</v>
      </c>
      <c r="EG56" s="9">
        <f t="shared" si="73"/>
        <v>22836.631150917179</v>
      </c>
      <c r="EH56" s="9">
        <f t="shared" si="73"/>
        <v>22608.264839408006</v>
      </c>
      <c r="EI56" s="9">
        <f t="shared" si="73"/>
        <v>22382.182191013926</v>
      </c>
      <c r="EJ56" s="9">
        <f t="shared" si="73"/>
        <v>22158.360369103786</v>
      </c>
      <c r="EK56" s="9">
        <f t="shared" si="73"/>
        <v>21936.776765412749</v>
      </c>
      <c r="EL56" s="9">
        <f t="shared" si="73"/>
        <v>21717.408997758623</v>
      </c>
      <c r="EM56" s="9">
        <f t="shared" si="73"/>
        <v>21500.234907781036</v>
      </c>
      <c r="EN56" s="9">
        <f t="shared" si="73"/>
        <v>21285.232558703225</v>
      </c>
      <c r="EO56" s="9">
        <f t="shared" si="73"/>
        <v>21072.380233116193</v>
      </c>
      <c r="EP56" s="9">
        <f t="shared" si="73"/>
        <v>20861.656430785031</v>
      </c>
      <c r="EQ56" s="9">
        <f t="shared" si="73"/>
        <v>20653.039866477182</v>
      </c>
      <c r="ER56" s="9">
        <f t="shared" si="73"/>
        <v>20446.509467812411</v>
      </c>
      <c r="ES56" s="9">
        <f t="shared" si="73"/>
        <v>20242.044373134286</v>
      </c>
    </row>
    <row r="57" spans="2:149" s="7" customFormat="1" x14ac:dyDescent="0.2">
      <c r="B57" s="7" t="s">
        <v>36</v>
      </c>
      <c r="C57" s="7">
        <f t="shared" ref="C57:T57" si="74">+C56/C58</f>
        <v>0.87395758875387142</v>
      </c>
      <c r="D57" s="7">
        <f t="shared" si="74"/>
        <v>1.7460620525059665</v>
      </c>
      <c r="E57" s="7">
        <f t="shared" si="74"/>
        <v>2.4833015267175571</v>
      </c>
      <c r="F57" s="7">
        <f t="shared" si="74"/>
        <v>3.1680210325047806</v>
      </c>
      <c r="G57" s="7">
        <f t="shared" si="74"/>
        <v>3.1702741702741699</v>
      </c>
      <c r="H57" s="7">
        <f t="shared" si="74"/>
        <v>2.487864077669903</v>
      </c>
      <c r="I57" s="7">
        <f t="shared" si="74"/>
        <v>4.0085658345570243</v>
      </c>
      <c r="J57" s="7">
        <f t="shared" si="74"/>
        <v>3.677283950617285</v>
      </c>
      <c r="K57" s="7">
        <f t="shared" si="74"/>
        <v>1.6303860523038602</v>
      </c>
      <c r="L57" s="7">
        <f t="shared" si="74"/>
        <v>3.5032614149523331</v>
      </c>
      <c r="M57" s="7">
        <f t="shared" si="74"/>
        <v>4.2143217347453357</v>
      </c>
      <c r="N57" s="7">
        <f t="shared" si="74"/>
        <v>4.4630566801619436</v>
      </c>
      <c r="O57" s="7">
        <f t="shared" si="74"/>
        <v>4.8495440729483281</v>
      </c>
      <c r="P57" s="7">
        <f t="shared" si="74"/>
        <v>4.7609137055837554</v>
      </c>
      <c r="Q57" s="7">
        <f t="shared" si="74"/>
        <v>4.688341376682752</v>
      </c>
      <c r="R57" s="7">
        <f t="shared" si="74"/>
        <v>5.1092202184404369</v>
      </c>
      <c r="S57" s="7">
        <f t="shared" si="74"/>
        <v>3.0317500635001267</v>
      </c>
      <c r="T57" s="7">
        <f t="shared" si="74"/>
        <v>3.8909783989834801</v>
      </c>
      <c r="U57" s="7">
        <f t="shared" ref="U57:W57" si="75">+U56/U58</f>
        <v>5.0792682926829258</v>
      </c>
      <c r="V57" s="7">
        <f t="shared" si="75"/>
        <v>6.7019817073170715</v>
      </c>
      <c r="W57" s="7">
        <f t="shared" si="75"/>
        <v>5.9159235668789796</v>
      </c>
      <c r="X57" s="39"/>
      <c r="AB57" s="7">
        <f t="shared" ref="AB57:AC57" si="76">+AB56/AB58</f>
        <v>2.5786420243895676</v>
      </c>
      <c r="AC57" s="7">
        <f t="shared" si="76"/>
        <v>3.0139652924806533</v>
      </c>
      <c r="AD57" s="7">
        <f t="shared" ref="AD57:AF57" si="77">+AD56/AD58</f>
        <v>3.422960018704698</v>
      </c>
      <c r="AE57" s="7">
        <f t="shared" si="77"/>
        <v>4.6051899907321596</v>
      </c>
      <c r="AF57" s="7">
        <f t="shared" si="77"/>
        <v>6.063320825515949</v>
      </c>
      <c r="AG57" s="7">
        <f t="shared" ref="AG57:AJ57" si="78">+AG56/AG58</f>
        <v>6.1055502846299818</v>
      </c>
      <c r="AH57" s="7">
        <f t="shared" si="78"/>
        <v>8.267955141970889</v>
      </c>
      <c r="AI57" s="7">
        <f t="shared" si="78"/>
        <v>13.329434697855751</v>
      </c>
      <c r="AJ57" s="7">
        <f t="shared" si="78"/>
        <v>13.78442211055277</v>
      </c>
      <c r="AK57" s="7">
        <f>+AK56/AK58</f>
        <v>19.405480842425778</v>
      </c>
      <c r="AL57" s="7">
        <f t="shared" ref="AL57:AV57" si="79">+AL56/AL58</f>
        <v>18.703760162601629</v>
      </c>
      <c r="AM57" s="7">
        <f t="shared" si="79"/>
        <v>21.489219994925147</v>
      </c>
      <c r="AN57" s="7">
        <f t="shared" si="79"/>
        <v>25.01543343110886</v>
      </c>
      <c r="AO57" s="7">
        <f t="shared" si="79"/>
        <v>28.98176035708298</v>
      </c>
      <c r="AP57" s="7">
        <f t="shared" si="79"/>
        <v>33.436917924311722</v>
      </c>
      <c r="AQ57" s="7">
        <f t="shared" si="79"/>
        <v>38.434641381630406</v>
      </c>
      <c r="AR57" s="7">
        <f t="shared" si="79"/>
        <v>44.034173628858348</v>
      </c>
      <c r="AS57" s="7">
        <f t="shared" si="79"/>
        <v>50.300800139750557</v>
      </c>
      <c r="AT57" s="7">
        <f t="shared" si="79"/>
        <v>57.306433211104469</v>
      </c>
      <c r="AU57" s="7">
        <f t="shared" si="79"/>
        <v>65.130249810296547</v>
      </c>
      <c r="AV57" s="7">
        <f t="shared" si="79"/>
        <v>73.859387630151176</v>
      </c>
      <c r="AW57" s="7">
        <f t="shared" ref="AW57:BA57" si="80">+AW56/AW58</f>
        <v>83.5897043186567</v>
      </c>
      <c r="AX57" s="7">
        <f t="shared" si="80"/>
        <v>94.426605232381107</v>
      </c>
      <c r="AY57" s="7">
        <f t="shared" si="80"/>
        <v>106.485945467139</v>
      </c>
      <c r="AZ57" s="7">
        <f t="shared" si="80"/>
        <v>119.89501234801848</v>
      </c>
      <c r="BA57" s="7">
        <f t="shared" si="80"/>
        <v>134.79359501361381</v>
      </c>
    </row>
    <row r="58" spans="2:149" x14ac:dyDescent="0.2">
      <c r="B58" t="s">
        <v>2</v>
      </c>
      <c r="C58" s="4">
        <v>419.7</v>
      </c>
      <c r="D58" s="4">
        <v>419</v>
      </c>
      <c r="E58" s="4">
        <v>419.2</v>
      </c>
      <c r="F58" s="4">
        <v>418.4</v>
      </c>
      <c r="G58" s="4">
        <v>415.8</v>
      </c>
      <c r="H58" s="4">
        <v>412</v>
      </c>
      <c r="I58" s="4">
        <v>408.6</v>
      </c>
      <c r="J58" s="4">
        <v>405</v>
      </c>
      <c r="K58" s="4">
        <v>401.5</v>
      </c>
      <c r="L58" s="4">
        <v>398.6</v>
      </c>
      <c r="M58" s="4">
        <v>396.6</v>
      </c>
      <c r="N58" s="4">
        <v>395.2</v>
      </c>
      <c r="O58" s="4">
        <v>394.8</v>
      </c>
      <c r="P58" s="4">
        <v>394</v>
      </c>
      <c r="Q58" s="4">
        <v>393.7</v>
      </c>
      <c r="R58" s="4">
        <v>393.7</v>
      </c>
      <c r="S58" s="4">
        <v>393.7</v>
      </c>
      <c r="T58" s="4">
        <v>393.5</v>
      </c>
      <c r="U58" s="4">
        <v>393.6</v>
      </c>
      <c r="V58" s="4">
        <v>393.6</v>
      </c>
      <c r="W58" s="4">
        <v>392.5</v>
      </c>
      <c r="AB58" s="4">
        <v>432.64400000000001</v>
      </c>
      <c r="AC58" s="4">
        <v>432.64400000000001</v>
      </c>
      <c r="AD58" s="4">
        <v>427.7</v>
      </c>
      <c r="AE58" s="4">
        <v>431.6</v>
      </c>
      <c r="AF58" s="4">
        <v>426.4</v>
      </c>
      <c r="AG58" s="4">
        <v>421.6</v>
      </c>
      <c r="AH58" s="4">
        <v>419.1</v>
      </c>
      <c r="AI58" s="4">
        <v>410.4</v>
      </c>
      <c r="AJ58" s="4">
        <v>398</v>
      </c>
      <c r="AK58" s="4">
        <v>394.1</v>
      </c>
      <c r="AL58" s="4">
        <v>393.6</v>
      </c>
      <c r="AM58" s="4">
        <v>394.1</v>
      </c>
      <c r="AN58" s="4">
        <v>394.1</v>
      </c>
      <c r="AO58" s="4">
        <v>394.1</v>
      </c>
      <c r="AP58" s="4">
        <v>394.1</v>
      </c>
      <c r="AQ58" s="4">
        <v>394.1</v>
      </c>
      <c r="AR58" s="4">
        <v>394.1</v>
      </c>
      <c r="AS58" s="4">
        <v>394.1</v>
      </c>
      <c r="AT58" s="4">
        <v>394.1</v>
      </c>
      <c r="AU58" s="4">
        <v>394.1</v>
      </c>
      <c r="AV58" s="4">
        <v>394.1</v>
      </c>
      <c r="AW58" s="4">
        <v>394.1</v>
      </c>
      <c r="AX58" s="4">
        <v>394.1</v>
      </c>
      <c r="AY58" s="4">
        <v>394.1</v>
      </c>
      <c r="AZ58" s="4">
        <v>394.1</v>
      </c>
      <c r="BA58" s="4">
        <v>394.1</v>
      </c>
    </row>
    <row r="59" spans="2:149" x14ac:dyDescent="0.2">
      <c r="B59" s="4"/>
      <c r="AE59" s="10"/>
      <c r="AF59" s="10"/>
      <c r="AG59" s="10"/>
      <c r="AH59" s="10"/>
      <c r="AI59" s="10"/>
      <c r="AJ59" s="10"/>
      <c r="AK59" s="10"/>
    </row>
    <row r="60" spans="2:149" s="10" customFormat="1" x14ac:dyDescent="0.2">
      <c r="B60" s="10" t="s">
        <v>37</v>
      </c>
      <c r="C60" s="10">
        <f t="shared" ref="C60:T60" si="81">+C48/C44</f>
        <v>0.45128247152339585</v>
      </c>
      <c r="D60" s="10">
        <f t="shared" si="81"/>
        <v>0.48206392639143636</v>
      </c>
      <c r="E60" s="10">
        <f t="shared" si="81"/>
        <v>0.47534108135421932</v>
      </c>
      <c r="F60" s="10">
        <f t="shared" si="81"/>
        <v>0.51975741049810775</v>
      </c>
      <c r="G60" s="10">
        <f t="shared" si="81"/>
        <v>0.5390590985127981</v>
      </c>
      <c r="H60" s="10">
        <f t="shared" si="81"/>
        <v>0.50858166260385052</v>
      </c>
      <c r="I60" s="10">
        <f t="shared" si="81"/>
        <v>0.51731440673115447</v>
      </c>
      <c r="J60" s="10">
        <f t="shared" si="81"/>
        <v>0.54168003851091151</v>
      </c>
      <c r="K60" s="10">
        <f t="shared" si="81"/>
        <v>0.48975780896333182</v>
      </c>
      <c r="L60" s="10">
        <f t="shared" si="81"/>
        <v>0.49065463585305219</v>
      </c>
      <c r="M60" s="10">
        <f t="shared" si="81"/>
        <v>0.51809355692850845</v>
      </c>
      <c r="N60" s="10">
        <f t="shared" si="81"/>
        <v>0.51489844794874184</v>
      </c>
      <c r="O60" s="10">
        <f t="shared" si="81"/>
        <v>0.50594408704159377</v>
      </c>
      <c r="P60" s="10">
        <f t="shared" si="81"/>
        <v>0.5134520377265549</v>
      </c>
      <c r="Q60" s="10">
        <f t="shared" si="81"/>
        <v>0.51874719016933912</v>
      </c>
      <c r="R60" s="10">
        <f t="shared" si="81"/>
        <v>0.5136520657731104</v>
      </c>
      <c r="S60" s="10">
        <f t="shared" si="81"/>
        <v>0.50975425330812851</v>
      </c>
      <c r="T60" s="10">
        <f t="shared" si="81"/>
        <v>0.51454475555840329</v>
      </c>
      <c r="U60" s="10">
        <f t="shared" ref="U60" si="82">+U48/U44</f>
        <v>0.50800155343966358</v>
      </c>
      <c r="V60" s="10">
        <f>+V48/V44</f>
        <v>0.51710066070734551</v>
      </c>
      <c r="W60" s="10">
        <f>+W48/W44</f>
        <v>0.53990828650778266</v>
      </c>
      <c r="X60" s="15"/>
      <c r="AB60" s="10">
        <f t="shared" ref="AB60:AK60" si="83">+AB48/AB44</f>
        <v>0.44334890579800096</v>
      </c>
      <c r="AC60" s="10">
        <f t="shared" si="83"/>
        <v>0.46056486212449549</v>
      </c>
      <c r="AD60" s="10">
        <f t="shared" si="83"/>
        <v>0.4574915273959651</v>
      </c>
      <c r="AE60" s="10">
        <f t="shared" si="83"/>
        <v>0.44854787061934465</v>
      </c>
      <c r="AF60" s="10">
        <f t="shared" si="83"/>
        <v>0.45953947368421061</v>
      </c>
      <c r="AG60" s="10">
        <f t="shared" si="83"/>
        <v>0.44668358714043993</v>
      </c>
      <c r="AH60" s="10">
        <f t="shared" si="83"/>
        <v>0.48626104374575241</v>
      </c>
      <c r="AI60" s="10">
        <f t="shared" si="83"/>
        <v>0.52705389285906179</v>
      </c>
      <c r="AJ60" s="10">
        <f t="shared" si="83"/>
        <v>0.50535577658760522</v>
      </c>
      <c r="AK60" s="10">
        <f t="shared" si="83"/>
        <v>0.51294881796904768</v>
      </c>
      <c r="AL60" s="10">
        <f>+AL48/AL44</f>
        <v>0.51275700653506895</v>
      </c>
      <c r="AM60" s="10">
        <f t="shared" ref="AM60:AV60" si="84">+AM48/AM44</f>
        <v>0.52604545181138529</v>
      </c>
      <c r="AN60" s="10">
        <f t="shared" si="84"/>
        <v>0.53897148494380209</v>
      </c>
      <c r="AO60" s="10">
        <f t="shared" si="84"/>
        <v>0.55154498989988021</v>
      </c>
      <c r="AP60" s="10">
        <f t="shared" si="84"/>
        <v>0.56377558108442893</v>
      </c>
      <c r="AQ60" s="10">
        <f t="shared" si="84"/>
        <v>0.57567261069121722</v>
      </c>
      <c r="AR60" s="10">
        <f t="shared" si="84"/>
        <v>0.58724517585418401</v>
      </c>
      <c r="AS60" s="10">
        <f t="shared" si="84"/>
        <v>0.59850212560361538</v>
      </c>
      <c r="AT60" s="10">
        <f t="shared" si="84"/>
        <v>0.60945206763260762</v>
      </c>
      <c r="AU60" s="10">
        <f t="shared" si="84"/>
        <v>0.62010337487899114</v>
      </c>
      <c r="AV60" s="10">
        <f t="shared" si="84"/>
        <v>0.63046419192774594</v>
      </c>
      <c r="AW60" s="10">
        <f t="shared" ref="AW60:BA60" si="85">+AW48/AW44</f>
        <v>0.64054244123880744</v>
      </c>
      <c r="AX60" s="10">
        <f t="shared" si="85"/>
        <v>0.65034582920502182</v>
      </c>
      <c r="AY60" s="10">
        <f t="shared" si="85"/>
        <v>0.65988185204488481</v>
      </c>
      <c r="AZ60" s="10">
        <f t="shared" si="85"/>
        <v>0.66915780153456994</v>
      </c>
      <c r="BA60" s="10">
        <f t="shared" si="85"/>
        <v>0.67818077058362702</v>
      </c>
    </row>
    <row r="61" spans="2:149" s="10" customFormat="1" x14ac:dyDescent="0.2">
      <c r="B61" s="10" t="s">
        <v>38</v>
      </c>
      <c r="C61" s="10">
        <f t="shared" ref="C61:T61" si="86">+C52/C44</f>
        <v>0.17483405719904935</v>
      </c>
      <c r="D61" s="10">
        <f t="shared" si="86"/>
        <v>0.27215323089875815</v>
      </c>
      <c r="E61" s="10">
        <f t="shared" si="86"/>
        <v>0.30720060636685198</v>
      </c>
      <c r="F61" s="10">
        <f t="shared" si="86"/>
        <v>0.3534707693754261</v>
      </c>
      <c r="G61" s="10">
        <f t="shared" si="86"/>
        <v>0.35761589403973504</v>
      </c>
      <c r="H61" s="10">
        <f t="shared" si="86"/>
        <v>0.30819362220785035</v>
      </c>
      <c r="I61" s="10">
        <f t="shared" si="86"/>
        <v>0.36618777784137524</v>
      </c>
      <c r="J61" s="10">
        <f t="shared" si="86"/>
        <v>0.3645499037227215</v>
      </c>
      <c r="K61" s="10">
        <f t="shared" si="86"/>
        <v>0.22198958804889088</v>
      </c>
      <c r="L61" s="10">
        <f t="shared" si="86"/>
        <v>0.30446551882883716</v>
      </c>
      <c r="M61" s="10">
        <f t="shared" si="86"/>
        <v>0.3354792932177284</v>
      </c>
      <c r="N61" s="10">
        <f t="shared" si="86"/>
        <v>0.33034742309725978</v>
      </c>
      <c r="O61" s="10">
        <f t="shared" si="86"/>
        <v>0.32685067148913466</v>
      </c>
      <c r="P61" s="10">
        <f t="shared" si="86"/>
        <v>0.32786172725033685</v>
      </c>
      <c r="Q61" s="10">
        <f t="shared" si="86"/>
        <v>0.32704930316199604</v>
      </c>
      <c r="R61" s="10">
        <f t="shared" si="86"/>
        <v>0.33050987978444107</v>
      </c>
      <c r="S61" s="10">
        <f t="shared" si="86"/>
        <v>0.26302457466918711</v>
      </c>
      <c r="T61" s="10">
        <f t="shared" si="86"/>
        <v>0.29387454347408209</v>
      </c>
      <c r="U61" s="10">
        <f t="shared" ref="U61:V61" si="87">+U52/U44</f>
        <v>0.32691869886036451</v>
      </c>
      <c r="V61" s="10">
        <f t="shared" si="87"/>
        <v>0.36224467763527224</v>
      </c>
      <c r="W61" s="10">
        <f t="shared" ref="W61" si="88">+W52/W44</f>
        <v>0.35366531034037324</v>
      </c>
      <c r="X61" s="15"/>
      <c r="AB61" s="10">
        <f t="shared" ref="AB61:AK61" si="89">+AB52/AB44</f>
        <v>0.20511820052227717</v>
      </c>
      <c r="AC61" s="10">
        <f t="shared" si="89"/>
        <v>0.2357001133223324</v>
      </c>
      <c r="AD61" s="10">
        <f t="shared" si="89"/>
        <v>0.24213465985949287</v>
      </c>
      <c r="AE61" s="10">
        <f t="shared" si="89"/>
        <v>0.26151717674361524</v>
      </c>
      <c r="AF61" s="10">
        <f t="shared" si="89"/>
        <v>0.27095211988304102</v>
      </c>
      <c r="AG61" s="10">
        <f t="shared" si="89"/>
        <v>0.23610829103214892</v>
      </c>
      <c r="AH61" s="10">
        <f t="shared" si="89"/>
        <v>0.28983796544693635</v>
      </c>
      <c r="AI61" s="10">
        <f t="shared" si="89"/>
        <v>0.35121164902477026</v>
      </c>
      <c r="AJ61" s="10">
        <f t="shared" si="89"/>
        <v>0.30702201819263802</v>
      </c>
      <c r="AK61" s="10">
        <f t="shared" si="89"/>
        <v>0.3281129234174574</v>
      </c>
      <c r="AL61" s="10">
        <f t="shared" ref="AL61:AV61" si="90">+AL52/AL44</f>
        <v>0.3192382947255944</v>
      </c>
      <c r="AM61" s="10">
        <f t="shared" si="90"/>
        <v>0.33050803189147093</v>
      </c>
      <c r="AN61" s="10">
        <f t="shared" si="90"/>
        <v>0.34135138378557717</v>
      </c>
      <c r="AO61" s="10">
        <f t="shared" si="90"/>
        <v>0.35177756703394969</v>
      </c>
      <c r="AP61" s="10">
        <f t="shared" si="90"/>
        <v>0.36179550755173229</v>
      </c>
      <c r="AQ61" s="10">
        <f t="shared" si="90"/>
        <v>0.37141384767427804</v>
      </c>
      <c r="AR61" s="10">
        <f t="shared" si="90"/>
        <v>0.38064095308076018</v>
      </c>
      <c r="AS61" s="10">
        <f t="shared" si="90"/>
        <v>0.38948491951568465</v>
      </c>
      <c r="AT61" s="10">
        <f t="shared" si="90"/>
        <v>0.3979535793135508</v>
      </c>
      <c r="AU61" s="10">
        <f t="shared" si="90"/>
        <v>0.40605450773175428</v>
      </c>
      <c r="AV61" s="10">
        <f t="shared" si="90"/>
        <v>0.41379502909668636</v>
      </c>
      <c r="AW61" s="10">
        <f t="shared" ref="AW61:BA61" si="91">+AW52/AW44</f>
        <v>0.42118222276784345</v>
      </c>
      <c r="AX61" s="10">
        <f t="shared" si="91"/>
        <v>0.42822292892462255</v>
      </c>
      <c r="AY61" s="10">
        <f t="shared" si="91"/>
        <v>0.43492375418034906</v>
      </c>
      <c r="AZ61" s="10">
        <f t="shared" si="91"/>
        <v>0.44129107702795373</v>
      </c>
      <c r="BA61" s="10">
        <f t="shared" si="91"/>
        <v>0.44733105312158677</v>
      </c>
    </row>
    <row r="62" spans="2:149" s="10" customFormat="1" x14ac:dyDescent="0.2">
      <c r="B62" s="10" t="s">
        <v>39</v>
      </c>
      <c r="C62" s="10">
        <f t="shared" ref="C62:T62" si="92">+C56/C44</f>
        <v>0.1502909120708022</v>
      </c>
      <c r="D62" s="10">
        <f t="shared" si="92"/>
        <v>0.21998376281685056</v>
      </c>
      <c r="E62" s="10">
        <f t="shared" si="92"/>
        <v>0.26301162203132894</v>
      </c>
      <c r="F62" s="10">
        <f t="shared" si="92"/>
        <v>0.31158176817658262</v>
      </c>
      <c r="G62" s="10">
        <f t="shared" si="92"/>
        <v>0.30206924998281354</v>
      </c>
      <c r="H62" s="10">
        <f t="shared" si="92"/>
        <v>0.25496243967961796</v>
      </c>
      <c r="I62" s="10">
        <f t="shared" si="92"/>
        <v>0.31249880754774578</v>
      </c>
      <c r="J62" s="10">
        <f t="shared" si="92"/>
        <v>0.29872031450577669</v>
      </c>
      <c r="K62" s="10">
        <f t="shared" si="92"/>
        <v>0.18520823902218195</v>
      </c>
      <c r="L62" s="10">
        <f t="shared" si="92"/>
        <v>0.25714022649848084</v>
      </c>
      <c r="M62" s="10">
        <f t="shared" si="92"/>
        <v>0.28925462506273475</v>
      </c>
      <c r="N62" s="10">
        <f t="shared" si="92"/>
        <v>0.27429939970762962</v>
      </c>
      <c r="O62" s="10">
        <f t="shared" si="92"/>
        <v>0.28380421570662001</v>
      </c>
      <c r="P62" s="10">
        <f t="shared" si="92"/>
        <v>0.27176448430233396</v>
      </c>
      <c r="Q62" s="10">
        <f t="shared" si="92"/>
        <v>0.27660722313801883</v>
      </c>
      <c r="R62" s="10">
        <f t="shared" si="92"/>
        <v>0.27794666298189857</v>
      </c>
      <c r="S62" s="10">
        <f t="shared" si="92"/>
        <v>0.22563327032136105</v>
      </c>
      <c r="T62" s="10">
        <f t="shared" si="92"/>
        <v>0.24525853783558654</v>
      </c>
      <c r="U62" s="10">
        <f t="shared" ref="U62:V62" si="93">+U56/U44</f>
        <v>0.26772729098871073</v>
      </c>
      <c r="V62" s="10">
        <f t="shared" si="93"/>
        <v>0.28478429848425962</v>
      </c>
      <c r="W62" s="10">
        <f t="shared" ref="W62" si="94">+W56/W44</f>
        <v>0.29994187173028475</v>
      </c>
      <c r="X62" s="15"/>
      <c r="AB62" s="10">
        <f t="shared" ref="AB62:AK62" si="95">+AB56/AB44</f>
        <v>0.19050225937058646</v>
      </c>
      <c r="AC62" s="10">
        <f t="shared" si="95"/>
        <v>0.20739561422692296</v>
      </c>
      <c r="AD62" s="10">
        <f t="shared" si="95"/>
        <v>0.21294235720207697</v>
      </c>
      <c r="AE62" s="10">
        <f t="shared" si="95"/>
        <v>0.22176353107880439</v>
      </c>
      <c r="AF62" s="10">
        <f t="shared" si="95"/>
        <v>0.23623903508771935</v>
      </c>
      <c r="AG62" s="10">
        <f t="shared" si="95"/>
        <v>0.21777495769881561</v>
      </c>
      <c r="AH62" s="10">
        <f t="shared" si="95"/>
        <v>0.24788782773545084</v>
      </c>
      <c r="AI62" s="10">
        <f t="shared" si="95"/>
        <v>0.29393369512653805</v>
      </c>
      <c r="AJ62" s="10">
        <f t="shared" si="95"/>
        <v>0.25910812623385959</v>
      </c>
      <c r="AK62" s="10">
        <f t="shared" si="95"/>
        <v>0.27750784694377417</v>
      </c>
      <c r="AL62" s="10">
        <f t="shared" ref="AL62:AV62" si="96">+AL56/AL44</f>
        <v>0.26047574735784368</v>
      </c>
      <c r="AM62" s="10">
        <f t="shared" si="96"/>
        <v>0.27240663394575415</v>
      </c>
      <c r="AN62" s="10">
        <f t="shared" si="96"/>
        <v>0.28827858040922677</v>
      </c>
      <c r="AO62" s="10">
        <f t="shared" si="96"/>
        <v>0.30362422449430548</v>
      </c>
      <c r="AP62" s="10">
        <f t="shared" si="96"/>
        <v>0.3184529024513526</v>
      </c>
      <c r="AQ62" s="10">
        <f t="shared" si="96"/>
        <v>0.33277379567434068</v>
      </c>
      <c r="AR62" s="10">
        <f t="shared" si="96"/>
        <v>0.34659592518869647</v>
      </c>
      <c r="AS62" s="10">
        <f t="shared" si="96"/>
        <v>0.35992814682175372</v>
      </c>
      <c r="AT62" s="10">
        <f t="shared" si="96"/>
        <v>0.37277914700311526</v>
      </c>
      <c r="AU62" s="10">
        <f t="shared" si="96"/>
        <v>0.38515743914574369</v>
      </c>
      <c r="AV62" s="10">
        <f t="shared" si="96"/>
        <v>0.39707136056189829</v>
      </c>
      <c r="AW62" s="10">
        <f t="shared" ref="AW62:BA62" si="97">+AW56/AW44</f>
        <v>0.4085290698711202</v>
      </c>
      <c r="AX62" s="10">
        <f t="shared" si="97"/>
        <v>0.41953854486035363</v>
      </c>
      <c r="AY62" s="10">
        <f t="shared" si="97"/>
        <v>0.43010758075899463</v>
      </c>
      <c r="AZ62" s="10">
        <f t="shared" si="97"/>
        <v>0.44024378889418408</v>
      </c>
      <c r="BA62" s="10">
        <f t="shared" si="97"/>
        <v>0.44995459569402846</v>
      </c>
    </row>
    <row r="63" spans="2:149" s="10" customFormat="1" x14ac:dyDescent="0.2">
      <c r="B63" s="10" t="s">
        <v>40</v>
      </c>
      <c r="C63" s="10">
        <f t="shared" ref="C63:T63" si="98">+C55/C54</f>
        <v>0.11678304839874794</v>
      </c>
      <c r="D63" s="10">
        <f t="shared" si="98"/>
        <v>0.18530066815144769</v>
      </c>
      <c r="E63" s="10">
        <f t="shared" si="98"/>
        <v>0.13788819875776398</v>
      </c>
      <c r="F63" s="10">
        <f t="shared" si="98"/>
        <v>0.11379287290231996</v>
      </c>
      <c r="G63" s="10">
        <f t="shared" si="98"/>
        <v>0.14872457216661289</v>
      </c>
      <c r="H63" s="10">
        <f t="shared" si="98"/>
        <v>0.16612430849332899</v>
      </c>
      <c r="I63" s="10">
        <f t="shared" si="98"/>
        <v>0.14192162615255655</v>
      </c>
      <c r="J63" s="10">
        <f t="shared" si="98"/>
        <v>0.17504015953027194</v>
      </c>
      <c r="K63" s="10">
        <f t="shared" si="98"/>
        <v>0.14876462938881668</v>
      </c>
      <c r="L63" s="10">
        <f t="shared" si="98"/>
        <v>0.14988432972117374</v>
      </c>
      <c r="M63" s="10">
        <f t="shared" si="98"/>
        <v>0.13101798897785169</v>
      </c>
      <c r="N63" s="10">
        <f t="shared" si="98"/>
        <v>0.16845033237471124</v>
      </c>
      <c r="O63" s="10">
        <f t="shared" si="98"/>
        <v>0.1364784412772867</v>
      </c>
      <c r="P63" s="10">
        <f t="shared" si="98"/>
        <v>0.17717243496951354</v>
      </c>
      <c r="Q63" s="10">
        <f t="shared" si="98"/>
        <v>0.15697647864809319</v>
      </c>
      <c r="R63" s="10">
        <f t="shared" si="98"/>
        <v>0.1608610404238455</v>
      </c>
      <c r="S63" s="10">
        <f t="shared" si="98"/>
        <v>0.1580135440180587</v>
      </c>
      <c r="T63" s="10">
        <f t="shared" si="98"/>
        <v>0.15998244362758551</v>
      </c>
      <c r="U63" s="10">
        <f t="shared" ref="U63:V63" si="99">+U55/U54</f>
        <v>0.1807900344205868</v>
      </c>
      <c r="V63" s="10">
        <f t="shared" si="99"/>
        <v>0.21530773120742483</v>
      </c>
      <c r="W63" s="10">
        <f t="shared" ref="W63" si="100">+W55/W54</f>
        <v>0.16687596426393028</v>
      </c>
      <c r="X63" s="15"/>
      <c r="AB63" s="10">
        <f t="shared" ref="AB63:AK63" si="101">+AB55/AB54</f>
        <v>6.4559053989128229E-2</v>
      </c>
      <c r="AC63" s="10">
        <f t="shared" si="101"/>
        <v>0.11017046307543232</v>
      </c>
      <c r="AD63" s="10">
        <f t="shared" si="101"/>
        <v>0.13801224682053703</v>
      </c>
      <c r="AE63" s="10">
        <f t="shared" si="101"/>
        <v>0.13341471921869547</v>
      </c>
      <c r="AF63" s="10">
        <f t="shared" si="101"/>
        <v>0.11971399387129723</v>
      </c>
      <c r="AG63" s="10">
        <f t="shared" si="101"/>
        <v>6.9310868464820291E-2</v>
      </c>
      <c r="AH63" s="10">
        <f t="shared" si="101"/>
        <v>0.13730518348852264</v>
      </c>
      <c r="AI63" s="10">
        <f t="shared" si="101"/>
        <v>0.15733694814997382</v>
      </c>
      <c r="AJ63" s="10">
        <f t="shared" si="101"/>
        <v>0.15023001502455038</v>
      </c>
      <c r="AK63" s="10">
        <f t="shared" si="101"/>
        <v>0.15806682446193648</v>
      </c>
      <c r="AL63" s="10">
        <f t="shared" ref="AL63:AV63" si="102">+AL55/AL54</f>
        <v>0.18585773688401305</v>
      </c>
      <c r="AM63" s="10">
        <f t="shared" si="102"/>
        <v>0.2</v>
      </c>
      <c r="AN63" s="10">
        <f t="shared" si="102"/>
        <v>0.2</v>
      </c>
      <c r="AO63" s="10">
        <f t="shared" si="102"/>
        <v>0.2</v>
      </c>
      <c r="AP63" s="10">
        <f t="shared" si="102"/>
        <v>0.2</v>
      </c>
      <c r="AQ63" s="10">
        <f t="shared" si="102"/>
        <v>0.2</v>
      </c>
      <c r="AR63" s="10">
        <f t="shared" si="102"/>
        <v>0.2</v>
      </c>
      <c r="AS63" s="10">
        <f t="shared" si="102"/>
        <v>0.2</v>
      </c>
      <c r="AT63" s="10">
        <f t="shared" si="102"/>
        <v>0.2</v>
      </c>
      <c r="AU63" s="10">
        <f t="shared" si="102"/>
        <v>0.2</v>
      </c>
      <c r="AV63" s="10">
        <f t="shared" si="102"/>
        <v>0.2</v>
      </c>
      <c r="AW63" s="10">
        <f t="shared" ref="AW63:BA63" si="103">+AW55/AW54</f>
        <v>0.2</v>
      </c>
      <c r="AX63" s="10">
        <f t="shared" si="103"/>
        <v>0.2</v>
      </c>
      <c r="AY63" s="10">
        <f t="shared" si="103"/>
        <v>0.20000000000000004</v>
      </c>
      <c r="AZ63" s="10">
        <f t="shared" si="103"/>
        <v>0.2</v>
      </c>
      <c r="BA63" s="10">
        <f t="shared" si="103"/>
        <v>0.2</v>
      </c>
    </row>
    <row r="64" spans="2:149" x14ac:dyDescent="0.2">
      <c r="AD64" s="10"/>
      <c r="AE64" s="10"/>
      <c r="AF64" s="10"/>
      <c r="AG64" s="10"/>
      <c r="AH64" s="10"/>
      <c r="AI64" s="10"/>
      <c r="AJ64" s="10"/>
      <c r="AK64" s="10"/>
    </row>
    <row r="65" spans="2:58" s="11" customFormat="1" x14ac:dyDescent="0.2">
      <c r="B65" s="11" t="s">
        <v>42</v>
      </c>
      <c r="G65" s="11">
        <f>+G44/C44-1</f>
        <v>0.78804392362533804</v>
      </c>
      <c r="H65" s="11">
        <f t="shared" ref="H65:U65" si="104">+H44/D44-1</f>
        <v>0.20882821661605067</v>
      </c>
      <c r="I65" s="11">
        <f t="shared" si="104"/>
        <v>0.32422940879231943</v>
      </c>
      <c r="J65" s="11">
        <f t="shared" si="104"/>
        <v>0.17195176418043778</v>
      </c>
      <c r="K65" s="11">
        <f>+K44/G44-1</f>
        <v>-0.19008226586310406</v>
      </c>
      <c r="L65" s="11">
        <f t="shared" si="104"/>
        <v>0.35080344261479524</v>
      </c>
      <c r="M65" s="11">
        <f t="shared" si="104"/>
        <v>0.10245549768187279</v>
      </c>
      <c r="N65" s="11">
        <f t="shared" si="104"/>
        <v>0.28975449293966604</v>
      </c>
      <c r="O65" s="11">
        <f t="shared" si="104"/>
        <v>0.90872566772295138</v>
      </c>
      <c r="P65" s="11">
        <f t="shared" si="104"/>
        <v>0.27102476751680338</v>
      </c>
      <c r="Q65" s="11">
        <f t="shared" si="104"/>
        <v>0.1548379281103438</v>
      </c>
      <c r="R65" s="11">
        <f t="shared" si="104"/>
        <v>0.12547043637833966</v>
      </c>
      <c r="S65" s="11">
        <f t="shared" si="104"/>
        <v>-0.21585485162017137</v>
      </c>
      <c r="T65" s="11">
        <f t="shared" si="104"/>
        <v>-9.5547860857974953E-2</v>
      </c>
      <c r="U65" s="11">
        <f t="shared" si="104"/>
        <v>0.11903191967630744</v>
      </c>
      <c r="V65" s="11">
        <f>+V44/R44-1</f>
        <v>0.27992261987011191</v>
      </c>
      <c r="W65" s="11">
        <f>+W44/S44-1</f>
        <v>0.46342155009451802</v>
      </c>
      <c r="X65" s="40"/>
      <c r="AC65" s="11">
        <f t="shared" ref="AC65:AK65" si="105">+AC44/AB44-1</f>
        <v>7.361297971390357E-2</v>
      </c>
      <c r="AD65" s="11">
        <f t="shared" si="105"/>
        <v>9.3477007495178732E-2</v>
      </c>
      <c r="AE65" s="11">
        <f t="shared" si="105"/>
        <v>0.30364649241465602</v>
      </c>
      <c r="AF65" s="11">
        <f t="shared" si="105"/>
        <v>0.2210606178941612</v>
      </c>
      <c r="AG65" s="11">
        <f t="shared" si="105"/>
        <v>8.0043859649122862E-2</v>
      </c>
      <c r="AH65" s="11">
        <f t="shared" si="105"/>
        <v>0.18261421319796955</v>
      </c>
      <c r="AI65" s="11">
        <f t="shared" si="105"/>
        <v>0.33140179561469396</v>
      </c>
      <c r="AJ65" s="11">
        <f t="shared" si="105"/>
        <v>0.137682016012036</v>
      </c>
      <c r="AK65" s="11">
        <f t="shared" si="105"/>
        <v>0.30156233765007023</v>
      </c>
      <c r="AL65" s="11">
        <f>+AL44/AK44-1</f>
        <v>2.5560171997750292E-2</v>
      </c>
      <c r="AM65" s="11">
        <f>+AM44/AL44-1</f>
        <v>0.10000000000000009</v>
      </c>
      <c r="AN65" s="11">
        <f t="shared" ref="AN65" si="106">+AN44/AM44-1</f>
        <v>0.10000000000000009</v>
      </c>
      <c r="AO65" s="11">
        <f t="shared" ref="AO65" si="107">+AO44/AN44-1</f>
        <v>0.10000000000000009</v>
      </c>
      <c r="AP65" s="11">
        <f t="shared" ref="AP65" si="108">+AP44/AO44-1</f>
        <v>0.10000000000000009</v>
      </c>
      <c r="AQ65" s="11">
        <f t="shared" ref="AQ65" si="109">+AQ44/AP44-1</f>
        <v>0.10000000000000009</v>
      </c>
      <c r="AR65" s="11">
        <f t="shared" ref="AR65" si="110">+AR44/AQ44-1</f>
        <v>0.10000000000000009</v>
      </c>
      <c r="AS65" s="11">
        <f t="shared" ref="AS65" si="111">+AS44/AR44-1</f>
        <v>0.10000000000000009</v>
      </c>
      <c r="AT65" s="11">
        <f t="shared" ref="AT65" si="112">+AT44/AS44-1</f>
        <v>0.10000000000000009</v>
      </c>
      <c r="AU65" s="11">
        <f t="shared" ref="AU65" si="113">+AU44/AT44-1</f>
        <v>0.10000000000000009</v>
      </c>
      <c r="AV65" s="11">
        <f t="shared" ref="AV65" si="114">+AV44/AU44-1</f>
        <v>0.10000000000000009</v>
      </c>
      <c r="AW65" s="11">
        <f t="shared" ref="AW65" si="115">+AW44/AV44-1</f>
        <v>0.10000000000000009</v>
      </c>
      <c r="AX65" s="11">
        <f t="shared" ref="AX65" si="116">+AX44/AW44-1</f>
        <v>0.10000000000000009</v>
      </c>
      <c r="AY65" s="11">
        <f t="shared" ref="AY65" si="117">+AY44/AX44-1</f>
        <v>0.10000000000000009</v>
      </c>
      <c r="AZ65" s="11">
        <f t="shared" ref="AZ65" si="118">+AZ44/AY44-1</f>
        <v>0.10000000000000009</v>
      </c>
      <c r="BA65" s="11">
        <f t="shared" ref="BA65" si="119">+BA44/AZ44-1</f>
        <v>0.10000000000000009</v>
      </c>
    </row>
    <row r="66" spans="2:58" s="11" customFormat="1" x14ac:dyDescent="0.2">
      <c r="V66" s="10"/>
      <c r="X66" s="40"/>
    </row>
    <row r="67" spans="2:58" s="10" customFormat="1" x14ac:dyDescent="0.2">
      <c r="B67" s="10" t="s">
        <v>144</v>
      </c>
      <c r="N67" s="10">
        <f t="shared" ref="N67:T67" si="120">+SUM(K53:N53)/N68</f>
        <v>-1.1549018592366254E-2</v>
      </c>
      <c r="O67" s="10">
        <f t="shared" si="120"/>
        <v>-5.390662602278197E-3</v>
      </c>
      <c r="P67" s="10">
        <f>+SUM(M53:P53)/P68</f>
        <v>5.851471070764518E-3</v>
      </c>
      <c r="Q67" s="10">
        <f>+SUM(N53:Q53)/Q68</f>
        <v>7.1740078499782034E-2</v>
      </c>
      <c r="R67" s="10">
        <f t="shared" si="120"/>
        <v>1.7321113259900787E-2</v>
      </c>
      <c r="S67" s="10">
        <f t="shared" si="120"/>
        <v>6.9512655836796333E-2</v>
      </c>
      <c r="T67" s="10">
        <f t="shared" si="120"/>
        <v>6.4767470172875471E-2</v>
      </c>
      <c r="U67" s="10">
        <f>+SUM(R53:U53)/U68</f>
        <v>6.3975367772836078E-2</v>
      </c>
      <c r="V67" s="10">
        <f>+SUM(S53:V53)/V68</f>
        <v>2.1844660194174754E-3</v>
      </c>
      <c r="W67" s="10">
        <f>+SUM(T53:W53)/W68</f>
        <v>7.8928927082949144E-3</v>
      </c>
      <c r="X67" s="15"/>
    </row>
    <row r="68" spans="2:58" x14ac:dyDescent="0.2">
      <c r="B68" s="10" t="s">
        <v>43</v>
      </c>
      <c r="F68" s="4">
        <f t="shared" ref="F68:M68" si="121">+F69-F84</f>
        <v>2688.7999999999993</v>
      </c>
      <c r="G68" s="4">
        <f t="shared" si="121"/>
        <v>21.199999999999818</v>
      </c>
      <c r="H68" s="4">
        <f t="shared" si="121"/>
        <v>753.40000000000055</v>
      </c>
      <c r="I68" s="4">
        <f t="shared" si="121"/>
        <v>349.89999999999964</v>
      </c>
      <c r="J68" s="4">
        <f t="shared" si="121"/>
        <v>3515.3</v>
      </c>
      <c r="K68" s="4">
        <f t="shared" si="121"/>
        <v>770.90000000000055</v>
      </c>
      <c r="L68" s="4">
        <f t="shared" si="121"/>
        <v>16.599999999999454</v>
      </c>
      <c r="M68" s="4">
        <f t="shared" si="121"/>
        <v>-1140.2999999999997</v>
      </c>
      <c r="N68" s="4">
        <f t="shared" ref="N68" si="122">+N69-N84</f>
        <v>3861.8</v>
      </c>
      <c r="O68" s="4">
        <f t="shared" ref="O68:T68" si="123">+O69-O84</f>
        <v>3116.5</v>
      </c>
      <c r="P68" s="4">
        <f>+P69-P84</f>
        <v>1828.6000000000004</v>
      </c>
      <c r="Q68" s="4">
        <f t="shared" si="123"/>
        <v>458.59999999999945</v>
      </c>
      <c r="R68" s="4">
        <f t="shared" si="123"/>
        <v>2378.5999999999995</v>
      </c>
      <c r="S68" s="4">
        <f t="shared" si="123"/>
        <v>794.10000000000036</v>
      </c>
      <c r="T68" s="4">
        <f t="shared" si="123"/>
        <v>410.70000000000073</v>
      </c>
      <c r="U68" s="4">
        <f>+U69-U84</f>
        <v>292.30000000000018</v>
      </c>
      <c r="V68" s="4">
        <f>+V69-V84</f>
        <v>9064</v>
      </c>
      <c r="W68" s="4">
        <f>+W69-W84</f>
        <v>5422.6</v>
      </c>
      <c r="AK68" s="4">
        <f>+T68</f>
        <v>410.70000000000073</v>
      </c>
      <c r="AL68" s="4">
        <f>+AL56+AK68</f>
        <v>7772.5000000000018</v>
      </c>
      <c r="AM68" s="4">
        <f>+AM56+AL68</f>
        <v>16241.401600000003</v>
      </c>
      <c r="AN68" s="4">
        <f>+AN56+AM68</f>
        <v>26099.983915200006</v>
      </c>
      <c r="AO68" s="4">
        <f t="shared" ref="AO68:AV68" si="124">+AO56+AN68</f>
        <v>37521.695671926413</v>
      </c>
      <c r="AP68" s="4">
        <f t="shared" si="124"/>
        <v>50699.185025897663</v>
      </c>
      <c r="AQ68" s="4">
        <f t="shared" si="124"/>
        <v>65846.277194398208</v>
      </c>
      <c r="AR68" s="4">
        <f t="shared" si="124"/>
        <v>83200.14502153128</v>
      </c>
      <c r="AS68" s="4">
        <f t="shared" si="124"/>
        <v>103023.69035660697</v>
      </c>
      <c r="AT68" s="4">
        <f t="shared" si="124"/>
        <v>125608.15568510324</v>
      </c>
      <c r="AU68" s="4">
        <f t="shared" si="124"/>
        <v>151275.9871353411</v>
      </c>
      <c r="AV68" s="4">
        <f t="shared" si="124"/>
        <v>180383.97180038368</v>
      </c>
      <c r="AW68" s="4">
        <f t="shared" ref="AW68" si="125">+AW56+AV68</f>
        <v>213326.67427236628</v>
      </c>
      <c r="AX68" s="4">
        <f t="shared" ref="AX68" si="126">+AX56+AW68</f>
        <v>250540.19939444767</v>
      </c>
      <c r="AY68" s="4">
        <f t="shared" ref="AY68" si="127">+AY56+AX68</f>
        <v>292506.31050304713</v>
      </c>
      <c r="AZ68" s="4">
        <f t="shared" ref="AZ68" si="128">+AZ56+AY68</f>
        <v>339756.93486940122</v>
      </c>
      <c r="BA68" s="4">
        <f t="shared" ref="BA68" si="129">+BA56+AZ68</f>
        <v>392879.09066426643</v>
      </c>
    </row>
    <row r="69" spans="2:58" x14ac:dyDescent="0.2">
      <c r="B69" t="s">
        <v>3</v>
      </c>
      <c r="F69" s="4">
        <f>6049.4+1302.2</f>
        <v>7351.5999999999995</v>
      </c>
      <c r="G69" s="4">
        <f>3243.8+1411.6</f>
        <v>4655.3999999999996</v>
      </c>
      <c r="H69" s="4">
        <f>5186.6+186.7</f>
        <v>5373.3</v>
      </c>
      <c r="I69" s="4">
        <f>4318.7+137</f>
        <v>4455.7</v>
      </c>
      <c r="J69" s="4">
        <f>6951.8+638.5</f>
        <v>7590.3</v>
      </c>
      <c r="K69" s="4">
        <f>4324.1+398.5</f>
        <v>4722.6000000000004</v>
      </c>
      <c r="L69" s="4">
        <f>4096.5+305.4</f>
        <v>4401.8999999999996</v>
      </c>
      <c r="M69" s="4">
        <f>2152.8+210</f>
        <v>2362.8000000000002</v>
      </c>
      <c r="N69" s="4">
        <f>7268.3+107.7</f>
        <v>7376</v>
      </c>
      <c r="O69" s="4">
        <f>6647.7+4.8</f>
        <v>6652.5</v>
      </c>
      <c r="P69" s="4">
        <f>6341.3+5.1</f>
        <v>6346.4000000000005</v>
      </c>
      <c r="Q69" s="4">
        <f>4975.5+5.4</f>
        <v>4980.8999999999996</v>
      </c>
      <c r="R69" s="4">
        <f>7004.7+5.4</f>
        <v>7010.0999999999995</v>
      </c>
      <c r="S69" s="4">
        <f>5100.8+305.3</f>
        <v>5406.1</v>
      </c>
      <c r="T69" s="4">
        <f>4813.6+205.3</f>
        <v>5018.9000000000005</v>
      </c>
      <c r="U69" s="4">
        <f>4979.3+5.2</f>
        <v>4984.5</v>
      </c>
      <c r="V69" s="4">
        <f>12735.9+5.4</f>
        <v>12741.3</v>
      </c>
      <c r="W69" s="4">
        <f>9098.4+5.2</f>
        <v>9103.6</v>
      </c>
    </row>
    <row r="70" spans="2:58" x14ac:dyDescent="0.2">
      <c r="B70" s="10" t="s">
        <v>44</v>
      </c>
      <c r="F70" s="4">
        <v>1310.3</v>
      </c>
      <c r="G70" s="4">
        <v>2239.1999999999998</v>
      </c>
      <c r="H70" s="4">
        <v>2782</v>
      </c>
      <c r="I70" s="4">
        <v>3383.3</v>
      </c>
      <c r="J70" s="4">
        <v>3028</v>
      </c>
      <c r="K70" s="4">
        <v>3494.6</v>
      </c>
      <c r="L70" s="4">
        <v>5376.7</v>
      </c>
      <c r="M70" s="4">
        <v>5840.2</v>
      </c>
      <c r="N70" s="4">
        <v>5323.8</v>
      </c>
      <c r="O70" s="4">
        <v>3454.7</v>
      </c>
      <c r="P70" s="4">
        <v>3963.6</v>
      </c>
      <c r="Q70" s="4">
        <v>3910.5</v>
      </c>
      <c r="R70" s="4">
        <v>4334.1000000000004</v>
      </c>
      <c r="S70" s="4">
        <v>3585.5</v>
      </c>
      <c r="T70" s="4">
        <v>4475.8</v>
      </c>
      <c r="U70" s="4">
        <v>5160.6000000000004</v>
      </c>
      <c r="V70" s="4">
        <v>4477.5</v>
      </c>
      <c r="W70" s="4">
        <v>4597.5</v>
      </c>
      <c r="BB70" s="4" t="s">
        <v>89</v>
      </c>
      <c r="BC70" s="10">
        <v>0.04</v>
      </c>
    </row>
    <row r="71" spans="2:58" x14ac:dyDescent="0.2">
      <c r="B71" t="s">
        <v>45</v>
      </c>
      <c r="F71" s="4">
        <f>1710.5+400.5</f>
        <v>2111</v>
      </c>
      <c r="G71" s="4">
        <f>2218.6+66.6</f>
        <v>2285.1999999999998</v>
      </c>
      <c r="H71" s="4">
        <f>1637.4+6.2</f>
        <v>1643.6000000000001</v>
      </c>
      <c r="I71" s="4">
        <f>1185.9+139</f>
        <v>1324.9</v>
      </c>
      <c r="J71" s="4">
        <f>1185.6+383</f>
        <v>1568.6</v>
      </c>
      <c r="K71" s="4">
        <f>1267.6+191.5</f>
        <v>1459.1</v>
      </c>
      <c r="L71" s="4">
        <v>1233.0999999999999</v>
      </c>
      <c r="M71" s="4">
        <f>1399.4+174.9</f>
        <v>1574.3000000000002</v>
      </c>
      <c r="N71" s="4">
        <f>1356.7+0</f>
        <v>1356.7</v>
      </c>
      <c r="O71" s="4">
        <f>1349.2+58.3</f>
        <v>1407.5</v>
      </c>
      <c r="P71" s="4">
        <f>1650.8+71.7</f>
        <v>1722.5</v>
      </c>
      <c r="Q71" s="4">
        <f>1348.2+423.4</f>
        <v>1771.6</v>
      </c>
      <c r="R71" s="4">
        <f>1379.2+60.6</f>
        <v>1439.8</v>
      </c>
      <c r="S71" s="4">
        <f>1441.2+13.8</f>
        <v>1455</v>
      </c>
      <c r="T71" s="4">
        <f>977+64</f>
        <v>1041</v>
      </c>
      <c r="U71" s="4">
        <f>640.7+370.5</f>
        <v>1011.2</v>
      </c>
      <c r="V71" s="4">
        <f>82.6+317.2</f>
        <v>399.79999999999995</v>
      </c>
      <c r="W71" s="4">
        <f>381.7+153.4</f>
        <v>535.1</v>
      </c>
      <c r="BB71" s="4" t="s">
        <v>121</v>
      </c>
      <c r="BC71" s="10">
        <v>-0.01</v>
      </c>
    </row>
    <row r="72" spans="2:58" x14ac:dyDescent="0.2">
      <c r="B72" s="10" t="s">
        <v>34</v>
      </c>
      <c r="F72" s="4">
        <v>67.3</v>
      </c>
      <c r="G72" s="4">
        <v>809.7</v>
      </c>
      <c r="H72" s="4">
        <v>608.20000000000005</v>
      </c>
      <c r="I72" s="4">
        <v>289.5</v>
      </c>
      <c r="J72" s="4">
        <v>42</v>
      </c>
      <c r="K72" s="4">
        <v>811</v>
      </c>
      <c r="L72" s="4">
        <v>658</v>
      </c>
      <c r="M72" s="4">
        <v>305.60000000000002</v>
      </c>
      <c r="N72" s="4">
        <v>33.4</v>
      </c>
      <c r="O72" s="4">
        <v>253.6</v>
      </c>
      <c r="P72" s="4">
        <v>595.79999999999995</v>
      </c>
      <c r="Q72" s="4">
        <v>854.3</v>
      </c>
      <c r="R72" s="4">
        <v>1001.2</v>
      </c>
      <c r="S72" s="4">
        <v>649.29999999999995</v>
      </c>
      <c r="T72" s="4">
        <v>684.8</v>
      </c>
      <c r="U72" s="4">
        <v>324.39999999999998</v>
      </c>
      <c r="V72" s="4">
        <v>283.60000000000002</v>
      </c>
      <c r="W72" s="4">
        <v>143.19999999999999</v>
      </c>
      <c r="BB72" s="4" t="s">
        <v>120</v>
      </c>
      <c r="BC72" s="10">
        <v>0.09</v>
      </c>
      <c r="BF72" s="3"/>
    </row>
    <row r="73" spans="2:58" x14ac:dyDescent="0.2">
      <c r="B73" t="s">
        <v>46</v>
      </c>
      <c r="F73" s="4">
        <v>119.2</v>
      </c>
      <c r="G73" s="4">
        <v>107.4</v>
      </c>
      <c r="H73" s="4">
        <v>178.9</v>
      </c>
      <c r="I73" s="4">
        <v>272</v>
      </c>
      <c r="J73" s="4">
        <v>164.6</v>
      </c>
      <c r="K73" s="4">
        <v>371.3</v>
      </c>
      <c r="L73" s="4">
        <v>270.39999999999998</v>
      </c>
      <c r="M73" s="4">
        <v>276.89999999999998</v>
      </c>
      <c r="N73" s="4">
        <v>131.9</v>
      </c>
      <c r="O73" s="4">
        <v>236.4</v>
      </c>
      <c r="P73" s="4">
        <v>191.9</v>
      </c>
      <c r="Q73" s="4">
        <v>266.5</v>
      </c>
      <c r="R73" s="4">
        <v>240.1</v>
      </c>
      <c r="S73" s="4">
        <v>302.60000000000002</v>
      </c>
      <c r="T73" s="4">
        <v>435</v>
      </c>
      <c r="U73" s="4">
        <v>553.6</v>
      </c>
      <c r="V73" s="4">
        <v>320.60000000000002</v>
      </c>
      <c r="W73" s="4">
        <v>407.3</v>
      </c>
      <c r="BB73" s="4" t="s">
        <v>122</v>
      </c>
      <c r="BC73" s="4">
        <f>+NPV(BC72,AL56:ES56)</f>
        <v>294353.88296709722</v>
      </c>
      <c r="BF73" s="10"/>
    </row>
    <row r="74" spans="2:58" x14ac:dyDescent="0.2">
      <c r="B74" s="10" t="s">
        <v>47</v>
      </c>
      <c r="F74" s="4">
        <v>4569.3999999999996</v>
      </c>
      <c r="G74" s="4">
        <v>4748.1000000000004</v>
      </c>
      <c r="H74" s="4">
        <v>5086.3</v>
      </c>
      <c r="I74" s="4">
        <v>4944.2</v>
      </c>
      <c r="J74" s="4">
        <v>5179.2</v>
      </c>
      <c r="K74" s="4">
        <v>6073.5</v>
      </c>
      <c r="L74" s="4">
        <v>6367.1</v>
      </c>
      <c r="M74" s="4">
        <v>6884</v>
      </c>
      <c r="N74" s="4">
        <v>7199.7</v>
      </c>
      <c r="O74" s="4">
        <v>7392</v>
      </c>
      <c r="P74" s="4">
        <v>7734.4</v>
      </c>
      <c r="Q74" s="4">
        <v>8378.5</v>
      </c>
      <c r="R74" s="4">
        <v>8850.7000000000007</v>
      </c>
      <c r="S74" s="4">
        <v>9864.5</v>
      </c>
      <c r="T74" s="4">
        <v>10972.3</v>
      </c>
      <c r="U74" s="4">
        <v>11414.5</v>
      </c>
      <c r="V74" s="4">
        <v>10891.5</v>
      </c>
      <c r="W74" s="4">
        <v>11024.7</v>
      </c>
      <c r="BB74" s="4" t="s">
        <v>43</v>
      </c>
      <c r="BC74" s="4">
        <f>+AK68</f>
        <v>410.70000000000073</v>
      </c>
    </row>
    <row r="75" spans="2:58" x14ac:dyDescent="0.2">
      <c r="B75" t="s">
        <v>41</v>
      </c>
      <c r="F75" s="4">
        <f>801.7+951.4</f>
        <v>1753.1</v>
      </c>
      <c r="G75" s="4">
        <f>915.7+1313.4+166</f>
        <v>2395.1000000000004</v>
      </c>
      <c r="H75" s="4">
        <f>922.9+1016.4+150</f>
        <v>2089.3000000000002</v>
      </c>
      <c r="I75" s="4">
        <f>995+1120+153</f>
        <v>2268</v>
      </c>
      <c r="J75" s="4">
        <f>1000.5+1011.4</f>
        <v>2011.9</v>
      </c>
      <c r="K75" s="4">
        <f>1468.2+934.2</f>
        <v>2402.4</v>
      </c>
      <c r="L75" s="4">
        <f>1528.1+877.3</f>
        <v>2405.3999999999996</v>
      </c>
      <c r="M75" s="4">
        <f>1657.5+745.2</f>
        <v>2402.6999999999998</v>
      </c>
      <c r="N75" s="4">
        <f>1643.4+739.8</f>
        <v>2383.1999999999998</v>
      </c>
      <c r="O75" s="4">
        <f>1722.4+1012.8</f>
        <v>2735.2</v>
      </c>
      <c r="P75" s="4">
        <f>1915.3+996.3</f>
        <v>2911.6</v>
      </c>
      <c r="Q75" s="4">
        <f>1916.8+859.2</f>
        <v>2776</v>
      </c>
      <c r="R75" s="4">
        <f>1578.5+651.8</f>
        <v>2230.3000000000002</v>
      </c>
      <c r="S75" s="4">
        <f>1890.5+648.5</f>
        <v>2539</v>
      </c>
      <c r="T75" s="4">
        <f>1889.4+702.8</f>
        <v>2592.1999999999998</v>
      </c>
      <c r="U75" s="4">
        <f>1785.7+733.5</f>
        <v>2519.1999999999998</v>
      </c>
      <c r="V75" s="4">
        <f>1940.3+790.8</f>
        <v>2731.1</v>
      </c>
      <c r="W75" s="4">
        <f>1848.6+859.2</f>
        <v>2707.8</v>
      </c>
      <c r="BB75" s="10" t="s">
        <v>126</v>
      </c>
      <c r="BC75" s="4">
        <f>+BC73+BC74</f>
        <v>294764.58296709723</v>
      </c>
    </row>
    <row r="76" spans="2:58" x14ac:dyDescent="0.2">
      <c r="B76" s="4" t="s">
        <v>49</v>
      </c>
      <c r="F76" s="4">
        <v>671.5</v>
      </c>
      <c r="G76" s="4">
        <v>700.8</v>
      </c>
      <c r="H76" s="4">
        <v>710.5</v>
      </c>
      <c r="I76" s="4">
        <v>986</v>
      </c>
      <c r="J76" s="4">
        <v>1098.7</v>
      </c>
      <c r="K76" s="4">
        <v>1141.9000000000001</v>
      </c>
      <c r="L76" s="4">
        <v>1240.8</v>
      </c>
      <c r="M76" s="4">
        <v>1599.6</v>
      </c>
      <c r="N76" s="4">
        <v>1672.8</v>
      </c>
      <c r="O76" s="4">
        <v>1667.4</v>
      </c>
      <c r="P76" s="4">
        <v>1679.1</v>
      </c>
      <c r="Q76" s="4">
        <v>1827.4</v>
      </c>
      <c r="R76" s="4">
        <v>1872.3</v>
      </c>
      <c r="S76" s="4">
        <v>1875.2</v>
      </c>
      <c r="T76" s="4">
        <v>1872.4</v>
      </c>
      <c r="U76" s="4">
        <v>1939</v>
      </c>
      <c r="V76" s="4">
        <v>1940.7</v>
      </c>
      <c r="W76" s="4">
        <v>1861</v>
      </c>
      <c r="BB76" s="4" t="s">
        <v>123</v>
      </c>
      <c r="BC76" s="4">
        <f>+BC75/Main!L3</f>
        <v>750.99256806903747</v>
      </c>
    </row>
    <row r="77" spans="2:58" x14ac:dyDescent="0.2">
      <c r="B77" s="4" t="s">
        <v>60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364.4</v>
      </c>
      <c r="N77" s="4">
        <v>364.4</v>
      </c>
      <c r="O77" s="4">
        <v>364.4</v>
      </c>
      <c r="P77" s="4">
        <v>364.4</v>
      </c>
      <c r="Q77" s="4">
        <v>920.7</v>
      </c>
      <c r="R77" s="4">
        <v>929.2</v>
      </c>
      <c r="S77" s="4">
        <v>929.5</v>
      </c>
      <c r="T77" s="4">
        <v>929.3</v>
      </c>
      <c r="U77" s="4">
        <v>928.6</v>
      </c>
      <c r="V77" s="4">
        <v>1456.6</v>
      </c>
      <c r="W77" s="4">
        <f>1443.4+17.8</f>
        <v>1461.2</v>
      </c>
      <c r="BB77" s="4" t="s">
        <v>124</v>
      </c>
      <c r="BC77" s="4">
        <f>+Main!L2</f>
        <v>570</v>
      </c>
    </row>
    <row r="78" spans="2:58" x14ac:dyDescent="0.2">
      <c r="B78" t="s">
        <v>50</v>
      </c>
      <c r="F78" s="4">
        <v>820.7</v>
      </c>
      <c r="G78" s="4">
        <v>842.5</v>
      </c>
      <c r="H78" s="4">
        <v>864.9</v>
      </c>
      <c r="I78" s="4">
        <v>963.2</v>
      </c>
      <c r="J78" s="4">
        <v>892.5</v>
      </c>
      <c r="K78" s="4">
        <v>940</v>
      </c>
      <c r="L78" s="4">
        <v>961.4</v>
      </c>
      <c r="M78" s="4">
        <v>998.7</v>
      </c>
      <c r="N78" s="4">
        <v>923.6</v>
      </c>
      <c r="O78" s="4">
        <v>969.6</v>
      </c>
      <c r="P78" s="4">
        <v>1040.4000000000001</v>
      </c>
      <c r="Q78" s="4">
        <v>1094.3</v>
      </c>
      <c r="R78" s="4">
        <v>919.6</v>
      </c>
      <c r="S78" s="4">
        <v>951.5</v>
      </c>
      <c r="T78" s="4">
        <v>1002.3</v>
      </c>
      <c r="U78" s="4">
        <v>1083.4000000000001</v>
      </c>
      <c r="V78" s="4">
        <v>903</v>
      </c>
      <c r="W78" s="4">
        <v>938.9</v>
      </c>
      <c r="BB78" s="4" t="s">
        <v>125</v>
      </c>
      <c r="BC78" s="10">
        <f>+BC76/BC77-1</f>
        <v>0.31753082117374998</v>
      </c>
    </row>
    <row r="79" spans="2:58" x14ac:dyDescent="0.2">
      <c r="B79" t="s">
        <v>51</v>
      </c>
      <c r="F79" s="4">
        <f>4629.1+1049</f>
        <v>5678.1</v>
      </c>
      <c r="G79" s="4">
        <f>4555.5+1014.2</f>
        <v>5569.7</v>
      </c>
      <c r="H79" s="4">
        <f>4555.5+987.7</f>
        <v>5543.2</v>
      </c>
      <c r="I79" s="4">
        <f>4555.6+963.8</f>
        <v>5519.4000000000005</v>
      </c>
      <c r="J79" s="4">
        <f>4555.6+952.1</f>
        <v>5507.7000000000007</v>
      </c>
      <c r="K79" s="4">
        <f>4555.6+923.4</f>
        <v>5479</v>
      </c>
      <c r="L79" s="4">
        <f>4555.6+896.1</f>
        <v>5451.7000000000007</v>
      </c>
      <c r="M79" s="4">
        <f>4555.6+870.1</f>
        <v>5425.7000000000007</v>
      </c>
      <c r="N79" s="4">
        <f>4555.6+842.4</f>
        <v>5398</v>
      </c>
      <c r="O79" s="4">
        <f>4555.6+813.7</f>
        <v>5369.3</v>
      </c>
      <c r="P79" s="4">
        <f>4555.6+789.2</f>
        <v>5344.8</v>
      </c>
      <c r="Q79" s="4">
        <f>4582.6+756.6</f>
        <v>5339.2000000000007</v>
      </c>
      <c r="R79" s="4">
        <f>4588.6+741.7</f>
        <v>5330.3</v>
      </c>
      <c r="S79" s="4">
        <f>4588.6+711.1</f>
        <v>5299.7000000000007</v>
      </c>
      <c r="T79" s="4">
        <f>4588.6+686.4</f>
        <v>5275</v>
      </c>
      <c r="U79" s="4">
        <f>4588.6+652.9</f>
        <v>5241.5</v>
      </c>
      <c r="V79" s="4">
        <f>4588.6+621.3</f>
        <v>5209.9000000000005</v>
      </c>
      <c r="W79" s="4">
        <f>4588.6+591.6</f>
        <v>5180.2000000000007</v>
      </c>
    </row>
    <row r="80" spans="2:58" x14ac:dyDescent="0.2">
      <c r="B80" t="s">
        <v>52</v>
      </c>
      <c r="F80" s="4">
        <v>2470.3000000000002</v>
      </c>
      <c r="G80" s="4">
        <v>2521.6</v>
      </c>
      <c r="H80" s="4">
        <v>2609.4</v>
      </c>
      <c r="I80" s="4">
        <v>2730.3</v>
      </c>
      <c r="J80" s="4">
        <v>2982.7</v>
      </c>
      <c r="K80" s="4">
        <v>3159.4</v>
      </c>
      <c r="L80" s="4">
        <v>3357.7</v>
      </c>
      <c r="M80" s="4">
        <v>3561.7</v>
      </c>
      <c r="N80" s="4">
        <v>3944.2</v>
      </c>
      <c r="O80" s="4">
        <v>4354.8</v>
      </c>
      <c r="P80" s="4">
        <v>4727.8999999999996</v>
      </c>
      <c r="Q80" s="4">
        <v>5093.2</v>
      </c>
      <c r="R80" s="4">
        <v>5493.2</v>
      </c>
      <c r="S80" s="4">
        <v>5841.4</v>
      </c>
      <c r="T80" s="4">
        <v>6084</v>
      </c>
      <c r="U80" s="4">
        <v>6211.9</v>
      </c>
      <c r="V80" s="4">
        <v>6846.8</v>
      </c>
      <c r="W80" s="4">
        <v>7152.9</v>
      </c>
    </row>
    <row r="81" spans="2:24" x14ac:dyDescent="0.2">
      <c r="B81" t="s">
        <v>53</v>
      </c>
      <c r="F81" s="4">
        <f>180.1+165</f>
        <v>345.1</v>
      </c>
      <c r="G81" s="4">
        <f>179.7+164.8</f>
        <v>344.5</v>
      </c>
      <c r="H81" s="4">
        <f>161.8+163.9</f>
        <v>325.70000000000005</v>
      </c>
      <c r="I81" s="4">
        <f>155+5.9</f>
        <v>160.9</v>
      </c>
      <c r="J81" s="4">
        <f>159.5+5.3</f>
        <v>164.8</v>
      </c>
      <c r="K81" s="4">
        <f>172.5+4.5</f>
        <v>177</v>
      </c>
      <c r="L81" s="4">
        <f>184.6+3.8</f>
        <v>188.4</v>
      </c>
      <c r="M81" s="4">
        <f>203.8+3.1</f>
        <v>206.9</v>
      </c>
      <c r="N81" s="4">
        <v>192.7</v>
      </c>
      <c r="O81" s="4">
        <v>290.2</v>
      </c>
      <c r="P81" s="4">
        <v>305.7</v>
      </c>
      <c r="Q81" s="4">
        <v>300.39999999999998</v>
      </c>
      <c r="R81" s="4">
        <v>306.60000000000002</v>
      </c>
      <c r="S81" s="4">
        <v>343.3</v>
      </c>
      <c r="T81" s="4">
        <v>358</v>
      </c>
      <c r="U81" s="4">
        <v>393.7</v>
      </c>
      <c r="V81" s="4">
        <v>387.2</v>
      </c>
      <c r="W81" s="4">
        <v>365.4</v>
      </c>
    </row>
    <row r="82" spans="2:24" s="9" customFormat="1" x14ac:dyDescent="0.2">
      <c r="B82" s="8" t="s">
        <v>48</v>
      </c>
      <c r="F82" s="9">
        <f t="shared" ref="F82:M82" si="130">SUM(F69:F81)</f>
        <v>27267.599999999995</v>
      </c>
      <c r="G82" s="9">
        <f t="shared" si="130"/>
        <v>27219.199999999997</v>
      </c>
      <c r="H82" s="9">
        <f t="shared" si="130"/>
        <v>27815.300000000003</v>
      </c>
      <c r="I82" s="9">
        <f t="shared" si="130"/>
        <v>27297.4</v>
      </c>
      <c r="J82" s="9">
        <f t="shared" si="130"/>
        <v>30231.000000000004</v>
      </c>
      <c r="K82" s="9">
        <f t="shared" si="130"/>
        <v>30231.800000000003</v>
      </c>
      <c r="L82" s="9">
        <f t="shared" si="130"/>
        <v>31912.600000000002</v>
      </c>
      <c r="M82" s="9">
        <f t="shared" si="130"/>
        <v>31803.500000000004</v>
      </c>
      <c r="N82" s="9">
        <f t="shared" ref="N82" si="131">SUM(N69:N81)</f>
        <v>36300.399999999994</v>
      </c>
      <c r="O82" s="9">
        <f t="shared" ref="O82:T82" si="132">SUM(O69:O81)</f>
        <v>35147.599999999999</v>
      </c>
      <c r="P82" s="9">
        <f t="shared" si="132"/>
        <v>36928.499999999993</v>
      </c>
      <c r="Q82" s="9">
        <f t="shared" si="132"/>
        <v>37513.5</v>
      </c>
      <c r="R82" s="9">
        <f t="shared" si="132"/>
        <v>39957.499999999993</v>
      </c>
      <c r="S82" s="9">
        <f t="shared" si="132"/>
        <v>39042.600000000006</v>
      </c>
      <c r="T82" s="9">
        <f t="shared" si="132"/>
        <v>40741</v>
      </c>
      <c r="U82" s="9">
        <f t="shared" ref="U82:V82" si="133">SUM(U69:U81)</f>
        <v>41766.1</v>
      </c>
      <c r="V82" s="9">
        <f t="shared" si="133"/>
        <v>48589.599999999991</v>
      </c>
      <c r="W82" s="9">
        <f t="shared" ref="W82" si="134">SUM(W69:W81)</f>
        <v>45478.8</v>
      </c>
      <c r="X82" s="16"/>
    </row>
    <row r="83" spans="2:24" x14ac:dyDescent="0.2">
      <c r="B83" t="s">
        <v>59</v>
      </c>
      <c r="F83" s="4">
        <v>6603.5</v>
      </c>
      <c r="G83" s="4">
        <f>6829.1+47.2</f>
        <v>6876.3</v>
      </c>
      <c r="H83" s="4">
        <f>8707.5+46.6</f>
        <v>8754.1</v>
      </c>
      <c r="I83" s="4">
        <f>9114.7+47.9</f>
        <v>9162.6</v>
      </c>
      <c r="J83" s="4">
        <v>12298</v>
      </c>
      <c r="K83" s="4">
        <v>13612.8</v>
      </c>
      <c r="L83" s="4">
        <v>14637</v>
      </c>
      <c r="M83" s="4">
        <v>15668.6</v>
      </c>
      <c r="N83" s="4">
        <v>17983.599999999999</v>
      </c>
      <c r="O83" s="4">
        <v>16948.099999999999</v>
      </c>
      <c r="P83" s="4">
        <v>16754.3</v>
      </c>
      <c r="Q83" s="4">
        <v>16309.5</v>
      </c>
      <c r="R83" s="4">
        <v>16274.8</v>
      </c>
      <c r="S83" s="4">
        <v>15048.7</v>
      </c>
      <c r="T83" s="4">
        <v>16132.3</v>
      </c>
      <c r="U83" s="4">
        <v>16025.8</v>
      </c>
      <c r="V83" s="4">
        <v>20051.400000000001</v>
      </c>
      <c r="W83" s="4">
        <v>18123.900000000001</v>
      </c>
    </row>
    <row r="84" spans="2:24" x14ac:dyDescent="0.2">
      <c r="B84" t="s">
        <v>4</v>
      </c>
      <c r="F84" s="4">
        <v>4662.8</v>
      </c>
      <c r="G84" s="4">
        <v>4634.2</v>
      </c>
      <c r="H84" s="4">
        <v>4619.8999999999996</v>
      </c>
      <c r="I84" s="4">
        <v>4105.8</v>
      </c>
      <c r="J84" s="4">
        <v>4075</v>
      </c>
      <c r="K84" s="4">
        <v>3951.7</v>
      </c>
      <c r="L84" s="4">
        <v>4385.3</v>
      </c>
      <c r="M84" s="4">
        <v>3503.1</v>
      </c>
      <c r="N84" s="4">
        <v>3514.2</v>
      </c>
      <c r="O84" s="4">
        <v>3536</v>
      </c>
      <c r="P84" s="4">
        <v>4517.8</v>
      </c>
      <c r="Q84" s="4">
        <v>4522.3</v>
      </c>
      <c r="R84" s="4">
        <v>4631.5</v>
      </c>
      <c r="S84" s="4">
        <v>4612</v>
      </c>
      <c r="T84" s="4">
        <v>4608.2</v>
      </c>
      <c r="U84" s="4">
        <v>4692.2</v>
      </c>
      <c r="V84" s="4">
        <v>3677.3</v>
      </c>
      <c r="W84" s="4">
        <v>3681</v>
      </c>
    </row>
    <row r="85" spans="2:24" x14ac:dyDescent="0.2">
      <c r="B85" t="s">
        <v>49</v>
      </c>
      <c r="F85" s="4">
        <v>238.3</v>
      </c>
      <c r="G85" s="4">
        <v>245.2</v>
      </c>
      <c r="H85" s="4">
        <v>247.7</v>
      </c>
      <c r="I85" s="4">
        <v>282.60000000000002</v>
      </c>
      <c r="J85" s="4">
        <v>240.6</v>
      </c>
      <c r="K85" s="4">
        <v>262.2</v>
      </c>
      <c r="L85" s="4">
        <v>252.4</v>
      </c>
      <c r="M85" s="4">
        <v>283</v>
      </c>
      <c r="N85" s="4">
        <v>267</v>
      </c>
      <c r="O85" s="4">
        <v>293</v>
      </c>
      <c r="P85" s="4">
        <v>372.8</v>
      </c>
      <c r="Q85" s="4">
        <v>380.4</v>
      </c>
      <c r="R85" s="4">
        <v>372.2</v>
      </c>
      <c r="S85" s="4">
        <v>400.4</v>
      </c>
      <c r="T85" s="4">
        <v>351.9</v>
      </c>
      <c r="U85" s="4">
        <v>346.9</v>
      </c>
      <c r="V85" s="4">
        <v>299.2</v>
      </c>
      <c r="W85" s="4">
        <v>335.9</v>
      </c>
    </row>
    <row r="86" spans="2:24" x14ac:dyDescent="0.2">
      <c r="B86" t="s">
        <v>54</v>
      </c>
      <c r="F86" s="4">
        <v>1639.9</v>
      </c>
      <c r="G86" s="4">
        <v>1583.2</v>
      </c>
      <c r="H86" s="4">
        <v>1860.2</v>
      </c>
      <c r="I86" s="4">
        <v>2001.7</v>
      </c>
      <c r="J86" s="4">
        <v>3225.7</v>
      </c>
      <c r="K86" s="4">
        <v>3292.2</v>
      </c>
      <c r="L86" s="4">
        <v>4630.6000000000004</v>
      </c>
      <c r="M86" s="4">
        <v>4918.6000000000004</v>
      </c>
      <c r="N86" s="4">
        <v>5269.9</v>
      </c>
      <c r="O86" s="4">
        <v>4147.3999999999996</v>
      </c>
      <c r="P86" s="4">
        <v>4205.3</v>
      </c>
      <c r="Q86" s="4">
        <v>3826</v>
      </c>
      <c r="R86" s="4">
        <v>4825.5</v>
      </c>
      <c r="S86" s="4">
        <v>4744.7</v>
      </c>
      <c r="T86" s="4">
        <v>4463</v>
      </c>
      <c r="U86" s="4">
        <v>4103.8999999999996</v>
      </c>
      <c r="V86" s="4">
        <v>5625.4</v>
      </c>
      <c r="W86" s="4">
        <v>5400.6</v>
      </c>
    </row>
    <row r="87" spans="2:24" x14ac:dyDescent="0.2">
      <c r="B87" t="s">
        <v>55</v>
      </c>
      <c r="F87" s="4">
        <v>257.5</v>
      </c>
      <c r="G87" s="4">
        <v>250.9</v>
      </c>
      <c r="H87" s="4">
        <v>240.3</v>
      </c>
      <c r="I87" s="4">
        <v>242.9</v>
      </c>
      <c r="J87" s="4">
        <v>251.1</v>
      </c>
      <c r="K87" s="4">
        <v>302.5</v>
      </c>
      <c r="L87" s="4">
        <v>358.7</v>
      </c>
      <c r="M87" s="4">
        <v>475.1</v>
      </c>
      <c r="N87" s="4">
        <v>454.9</v>
      </c>
      <c r="O87" s="4">
        <v>436.8</v>
      </c>
      <c r="P87" s="4">
        <v>473.4</v>
      </c>
      <c r="Q87" s="4">
        <v>480.4</v>
      </c>
      <c r="R87" s="4">
        <v>401.2</v>
      </c>
      <c r="S87" s="4">
        <v>442.7</v>
      </c>
      <c r="T87" s="4">
        <v>474.4</v>
      </c>
      <c r="U87" s="4">
        <v>445.7</v>
      </c>
      <c r="V87" s="4">
        <v>459.5</v>
      </c>
      <c r="W87" s="4">
        <v>436.7</v>
      </c>
    </row>
    <row r="88" spans="2:24" s="9" customFormat="1" x14ac:dyDescent="0.2">
      <c r="B88" s="8" t="s">
        <v>56</v>
      </c>
      <c r="F88" s="9">
        <f t="shared" ref="F88:M88" si="135">SUM(F83:F87)</f>
        <v>13401.999999999998</v>
      </c>
      <c r="G88" s="9">
        <f t="shared" si="135"/>
        <v>13589.800000000001</v>
      </c>
      <c r="H88" s="9">
        <f t="shared" si="135"/>
        <v>15722.2</v>
      </c>
      <c r="I88" s="9">
        <f t="shared" si="135"/>
        <v>15795.600000000002</v>
      </c>
      <c r="J88" s="9">
        <f t="shared" si="135"/>
        <v>20090.399999999998</v>
      </c>
      <c r="K88" s="9">
        <f t="shared" si="135"/>
        <v>21421.4</v>
      </c>
      <c r="L88" s="9">
        <f t="shared" si="135"/>
        <v>24264.000000000004</v>
      </c>
      <c r="M88" s="9">
        <f t="shared" si="135"/>
        <v>24848.400000000001</v>
      </c>
      <c r="N88" s="9">
        <f t="shared" ref="N88" si="136">SUM(N83:N87)</f>
        <v>27489.599999999999</v>
      </c>
      <c r="O88" s="9">
        <f t="shared" ref="O88:T88" si="137">SUM(O83:O87)</f>
        <v>25361.3</v>
      </c>
      <c r="P88" s="9">
        <f t="shared" si="137"/>
        <v>26323.599999999999</v>
      </c>
      <c r="Q88" s="9">
        <f t="shared" si="137"/>
        <v>25518.600000000002</v>
      </c>
      <c r="R88" s="9">
        <f t="shared" si="137"/>
        <v>26505.200000000001</v>
      </c>
      <c r="S88" s="9">
        <f t="shared" si="137"/>
        <v>25248.500000000004</v>
      </c>
      <c r="T88" s="9">
        <f t="shared" si="137"/>
        <v>26029.800000000003</v>
      </c>
      <c r="U88" s="9">
        <f t="shared" ref="U88:V88" si="138">SUM(U83:U87)</f>
        <v>25614.500000000004</v>
      </c>
      <c r="V88" s="9">
        <f t="shared" si="138"/>
        <v>30112.800000000003</v>
      </c>
      <c r="W88" s="9">
        <f t="shared" ref="W88" si="139">SUM(W83:W87)</f>
        <v>27978.100000000002</v>
      </c>
      <c r="X88" s="16"/>
    </row>
    <row r="89" spans="2:24" x14ac:dyDescent="0.2">
      <c r="B89" t="s">
        <v>57</v>
      </c>
      <c r="F89" s="4">
        <f>+F82-F88</f>
        <v>13865.599999999997</v>
      </c>
      <c r="G89" s="4">
        <f>+G82-G88</f>
        <v>13629.399999999996</v>
      </c>
      <c r="H89" s="4">
        <f>+H82-H88</f>
        <v>12093.100000000002</v>
      </c>
      <c r="I89" s="4">
        <f>+I82-I88</f>
        <v>11501.8</v>
      </c>
      <c r="J89" s="4">
        <f>+J82-J88</f>
        <v>10140.600000000006</v>
      </c>
      <c r="K89" s="4">
        <v>8810.4</v>
      </c>
      <c r="L89" s="4">
        <v>7648.6</v>
      </c>
      <c r="M89" s="4">
        <v>7955.1</v>
      </c>
      <c r="N89" s="4">
        <v>8810.7999999999993</v>
      </c>
      <c r="O89" s="4">
        <f t="shared" ref="O89:T89" si="140">+O82-O88</f>
        <v>9786.2999999999993</v>
      </c>
      <c r="P89" s="4">
        <f t="shared" si="140"/>
        <v>10604.899999999994</v>
      </c>
      <c r="Q89" s="4">
        <f t="shared" si="140"/>
        <v>11994.899999999998</v>
      </c>
      <c r="R89" s="4">
        <f t="shared" si="140"/>
        <v>13452.299999999992</v>
      </c>
      <c r="S89" s="4">
        <f t="shared" si="140"/>
        <v>13794.100000000002</v>
      </c>
      <c r="T89" s="4">
        <f t="shared" si="140"/>
        <v>14711.199999999997</v>
      </c>
      <c r="U89" s="4">
        <f t="shared" ref="U89" si="141">+U82-U88</f>
        <v>16151.599999999995</v>
      </c>
      <c r="V89" s="4">
        <v>18476.8</v>
      </c>
      <c r="W89" s="4">
        <v>17500.7</v>
      </c>
    </row>
    <row r="90" spans="2:24" x14ac:dyDescent="0.2">
      <c r="B90" t="s">
        <v>58</v>
      </c>
      <c r="F90" s="4">
        <f t="shared" ref="F90:M90" si="142">+F88+F89</f>
        <v>27267.599999999995</v>
      </c>
      <c r="G90" s="4">
        <f t="shared" si="142"/>
        <v>27219.199999999997</v>
      </c>
      <c r="H90" s="4">
        <f t="shared" si="142"/>
        <v>27815.300000000003</v>
      </c>
      <c r="I90" s="4">
        <f t="shared" si="142"/>
        <v>27297.4</v>
      </c>
      <c r="J90" s="4">
        <f t="shared" si="142"/>
        <v>30231.000000000004</v>
      </c>
      <c r="K90" s="4">
        <f t="shared" si="142"/>
        <v>30231.800000000003</v>
      </c>
      <c r="L90" s="4">
        <f t="shared" si="142"/>
        <v>31912.600000000006</v>
      </c>
      <c r="M90" s="4">
        <f t="shared" si="142"/>
        <v>32803.5</v>
      </c>
      <c r="N90" s="4">
        <f>+N89+N88</f>
        <v>36300.399999999994</v>
      </c>
      <c r="O90" s="4">
        <f t="shared" ref="O90:T90" si="143">+O88+O89</f>
        <v>35147.599999999999</v>
      </c>
      <c r="P90" s="4">
        <f t="shared" si="143"/>
        <v>36928.499999999993</v>
      </c>
      <c r="Q90" s="4">
        <f t="shared" si="143"/>
        <v>37513.5</v>
      </c>
      <c r="R90" s="4">
        <f t="shared" si="143"/>
        <v>39957.499999999993</v>
      </c>
      <c r="S90" s="4">
        <f t="shared" si="143"/>
        <v>39042.600000000006</v>
      </c>
      <c r="T90" s="4">
        <f t="shared" si="143"/>
        <v>40741</v>
      </c>
      <c r="U90" s="4">
        <f t="shared" ref="U90" si="144">+U88+U89</f>
        <v>41766.1</v>
      </c>
      <c r="V90" s="4">
        <f>+V88+V89</f>
        <v>48589.600000000006</v>
      </c>
      <c r="W90" s="4">
        <f>+W88+W89</f>
        <v>45478.8</v>
      </c>
    </row>
    <row r="92" spans="2:24" x14ac:dyDescent="0.2">
      <c r="B92" t="s">
        <v>223</v>
      </c>
      <c r="F92" s="4">
        <f t="shared" ref="F92:R92" si="145">+SUM(C56:F56)</f>
        <v>3464.8999999999996</v>
      </c>
      <c r="G92" s="4">
        <f>+SUM(D56:G56)</f>
        <v>4416.3</v>
      </c>
      <c r="H92" s="4">
        <f t="shared" si="145"/>
        <v>4709.7</v>
      </c>
      <c r="I92" s="4">
        <f t="shared" si="145"/>
        <v>5306.6</v>
      </c>
      <c r="J92" s="4">
        <f t="shared" si="145"/>
        <v>5470.4000000000005</v>
      </c>
      <c r="K92" s="4">
        <f t="shared" si="145"/>
        <v>4806.8000000000011</v>
      </c>
      <c r="L92" s="4">
        <f t="shared" si="145"/>
        <v>5178.2000000000007</v>
      </c>
      <c r="M92" s="4">
        <f t="shared" si="145"/>
        <v>5211.7000000000007</v>
      </c>
      <c r="N92" s="4">
        <f>+SUM(K56:N56)</f>
        <v>5486.2000000000007</v>
      </c>
      <c r="O92" s="4">
        <f t="shared" si="145"/>
        <v>6746.2000000000007</v>
      </c>
      <c r="P92" s="4">
        <f t="shared" si="145"/>
        <v>7225.6</v>
      </c>
      <c r="Q92" s="4">
        <f t="shared" si="145"/>
        <v>7399.9999999999982</v>
      </c>
      <c r="R92" s="4">
        <f t="shared" si="145"/>
        <v>7647.6999999999989</v>
      </c>
      <c r="S92" s="4">
        <f>+SUM(P56:S56)</f>
        <v>6926.6999999999989</v>
      </c>
      <c r="T92" s="4">
        <f>+SUM(Q56:T56)</f>
        <v>6581.9999999999991</v>
      </c>
      <c r="U92" s="4">
        <f>+SUM(R56:U56)</f>
        <v>6735.3999999999987</v>
      </c>
      <c r="V92" s="4">
        <f>+SUM(S56:V56)</f>
        <v>7361.7999999999984</v>
      </c>
      <c r="W92" s="4">
        <f>+SUM(T56:W56)</f>
        <v>8490.1999999999989</v>
      </c>
    </row>
    <row r="93" spans="2:24" s="10" customFormat="1" x14ac:dyDescent="0.2">
      <c r="B93" s="10" t="s">
        <v>224</v>
      </c>
      <c r="F93" s="10">
        <f t="shared" ref="F93" si="146">+F92/(F70+F71+F72+F73+F74+F75+F76+F77+F78+F80+F81)</f>
        <v>0.2433575176114455</v>
      </c>
      <c r="G93" s="10">
        <f t="shared" ref="G93" si="147">+G92/(G70+G71+G72+G73+G74+G75+G76+G77+G78+G80+G81)</f>
        <v>0.25987254400056492</v>
      </c>
      <c r="H93" s="10">
        <f t="shared" ref="H93" si="148">+H92/(H70+H71+H72+H73+H74+H75+H76+H77+H78+H80+H81)</f>
        <v>0.27870026274054965</v>
      </c>
      <c r="I93" s="10">
        <f t="shared" ref="I93" si="149">+I92/(I70+I71+I72+I73+I74+I75+I76+I77+I78+I80+I81)</f>
        <v>0.30634500037523882</v>
      </c>
      <c r="J93" s="10">
        <f t="shared" ref="J93:M93" si="150">+J92/(J70+J71+J72+J73+J74+J75+J76+J77+J78+J80+J81)</f>
        <v>0.31929025856534177</v>
      </c>
      <c r="K93" s="10">
        <f t="shared" si="150"/>
        <v>0.23997763377300282</v>
      </c>
      <c r="L93" s="10">
        <f t="shared" si="150"/>
        <v>0.2347431887211569</v>
      </c>
      <c r="M93" s="10">
        <f t="shared" si="150"/>
        <v>0.21701853008536331</v>
      </c>
      <c r="N93" s="10">
        <f>+N92/(N70+N71+N72+N73+N74+N75+N76+N77+N78+N80+N81)</f>
        <v>0.23319334874863984</v>
      </c>
      <c r="O93" s="10">
        <f t="shared" ref="O93:R93" si="151">+O92/(O70+O71+O72+O73+O74+O75+O76+O77+O78+O80+O81)</f>
        <v>0.29171747571975887</v>
      </c>
      <c r="P93" s="10">
        <f t="shared" si="151"/>
        <v>0.28630637984253471</v>
      </c>
      <c r="Q93" s="10">
        <f t="shared" si="151"/>
        <v>0.27212485382482504</v>
      </c>
      <c r="R93" s="10">
        <f t="shared" si="151"/>
        <v>0.27691901032331417</v>
      </c>
      <c r="S93" s="10">
        <f>+S92/(S70+S71+S72+S73+S74+S75+S76+S77+S78+S80+S81)</f>
        <v>0.24444185652578976</v>
      </c>
      <c r="T93" s="10">
        <f>+T92/(T70+T71+T72+T73+T74+T75+T76+T77+T78+T80+T81)</f>
        <v>0.21617822387025359</v>
      </c>
      <c r="U93" s="10">
        <f>+U92/(U70+U71+U72+U73+U74+U75+U76+U77+U78+U80+U81)</f>
        <v>0.21355036921252621</v>
      </c>
      <c r="V93" s="10">
        <f>+V92/(V70+V71+V72+V73+V74+V75+V76+V77+V78+V80+V81)</f>
        <v>0.24028017128831788</v>
      </c>
      <c r="W93" s="10">
        <f>+W92/(W70+W71+W72+W73+W74+W75+W76+W77+W78+W80+W81)</f>
        <v>0.27216541112357739</v>
      </c>
      <c r="X93" s="15"/>
    </row>
    <row r="94" spans="2:24" s="10" customFormat="1" x14ac:dyDescent="0.2">
      <c r="B94" s="10" t="s">
        <v>225</v>
      </c>
      <c r="F94" s="10">
        <f t="shared" ref="F94:N94" si="152">+F92/F89</f>
        <v>0.24989181860143092</v>
      </c>
      <c r="G94" s="10">
        <f t="shared" si="152"/>
        <v>0.32402747002802773</v>
      </c>
      <c r="H94" s="10">
        <f t="shared" si="152"/>
        <v>0.38945349000669793</v>
      </c>
      <c r="I94" s="10">
        <f t="shared" si="152"/>
        <v>0.46137126362830172</v>
      </c>
      <c r="J94" s="10">
        <f t="shared" si="152"/>
        <v>0.53945525905764924</v>
      </c>
      <c r="K94" s="10">
        <f t="shared" si="152"/>
        <v>0.54558249341687115</v>
      </c>
      <c r="L94" s="10">
        <f t="shared" si="152"/>
        <v>0.67701278665376674</v>
      </c>
      <c r="M94" s="10">
        <f t="shared" si="152"/>
        <v>0.65513947027692931</v>
      </c>
      <c r="N94" s="10">
        <f t="shared" si="152"/>
        <v>0.62266763517501267</v>
      </c>
      <c r="O94" s="10">
        <f t="shared" ref="O94:U94" si="153">+O92/O89</f>
        <v>0.68935144027875717</v>
      </c>
      <c r="P94" s="10">
        <f t="shared" si="153"/>
        <v>0.68134541579835772</v>
      </c>
      <c r="Q94" s="10">
        <f t="shared" si="153"/>
        <v>0.61692886143277559</v>
      </c>
      <c r="R94" s="10">
        <f t="shared" si="153"/>
        <v>0.568505014012474</v>
      </c>
      <c r="S94" s="10">
        <f t="shared" si="153"/>
        <v>0.50214946970081398</v>
      </c>
      <c r="T94" s="10">
        <f t="shared" si="153"/>
        <v>0.44741421501984885</v>
      </c>
      <c r="U94" s="10">
        <f t="shared" si="153"/>
        <v>0.41701131776418443</v>
      </c>
      <c r="V94" s="10">
        <f>+V92/V89</f>
        <v>0.39843479390370617</v>
      </c>
      <c r="W94" s="10">
        <f>+W92/W89</f>
        <v>0.48513488031907287</v>
      </c>
      <c r="X94" s="15"/>
    </row>
    <row r="95" spans="2:24" s="10" customFormat="1" x14ac:dyDescent="0.2">
      <c r="X95" s="15"/>
    </row>
    <row r="97" spans="2:24" x14ac:dyDescent="0.2">
      <c r="B97" t="s">
        <v>61</v>
      </c>
      <c r="C97" s="4">
        <f t="shared" ref="C97:W97" si="154">+C56</f>
        <v>366.79999999999984</v>
      </c>
      <c r="D97" s="4">
        <f t="shared" si="154"/>
        <v>731.59999999999991</v>
      </c>
      <c r="E97" s="4">
        <f t="shared" si="154"/>
        <v>1041</v>
      </c>
      <c r="F97" s="4">
        <f t="shared" si="154"/>
        <v>1325.5000000000002</v>
      </c>
      <c r="G97" s="4">
        <f t="shared" si="154"/>
        <v>1318.1999999999998</v>
      </c>
      <c r="H97" s="4">
        <f t="shared" si="154"/>
        <v>1025</v>
      </c>
      <c r="I97" s="4">
        <f t="shared" si="154"/>
        <v>1637.9</v>
      </c>
      <c r="J97" s="4">
        <f t="shared" si="154"/>
        <v>1489.3000000000004</v>
      </c>
      <c r="K97" s="4">
        <f t="shared" si="154"/>
        <v>654.59999999999991</v>
      </c>
      <c r="L97" s="4">
        <f t="shared" si="154"/>
        <v>1396.4</v>
      </c>
      <c r="M97" s="4">
        <f t="shared" si="154"/>
        <v>1671.4000000000003</v>
      </c>
      <c r="N97" s="4">
        <f t="shared" si="154"/>
        <v>1763.8</v>
      </c>
      <c r="O97" s="4">
        <f t="shared" si="154"/>
        <v>1914.6</v>
      </c>
      <c r="P97" s="4">
        <f t="shared" si="154"/>
        <v>1875.7999999999997</v>
      </c>
      <c r="Q97" s="4">
        <f t="shared" si="154"/>
        <v>1845.7999999999995</v>
      </c>
      <c r="R97" s="4">
        <f t="shared" si="154"/>
        <v>2011.5</v>
      </c>
      <c r="S97" s="4">
        <f t="shared" si="154"/>
        <v>1193.5999999999999</v>
      </c>
      <c r="T97" s="4">
        <f t="shared" si="154"/>
        <v>1531.0999999999995</v>
      </c>
      <c r="U97" s="4">
        <f t="shared" si="154"/>
        <v>1999.1999999999996</v>
      </c>
      <c r="V97" s="4">
        <f t="shared" si="154"/>
        <v>2637.8999999999996</v>
      </c>
      <c r="W97" s="4">
        <f t="shared" si="154"/>
        <v>2321.9999999999995</v>
      </c>
    </row>
    <row r="98" spans="2:24" x14ac:dyDescent="0.2">
      <c r="B98" t="s">
        <v>62</v>
      </c>
      <c r="C98" s="4">
        <v>390.6</v>
      </c>
      <c r="D98" s="4">
        <v>751</v>
      </c>
      <c r="E98" s="4">
        <v>1061.5</v>
      </c>
      <c r="F98" s="4">
        <v>1350.6</v>
      </c>
      <c r="G98" s="4">
        <v>1331.4</v>
      </c>
      <c r="H98" s="4">
        <v>1038.2</v>
      </c>
      <c r="I98" s="4">
        <v>1740.2</v>
      </c>
      <c r="J98" s="4">
        <v>1773.4</v>
      </c>
      <c r="K98" s="4">
        <v>695.3</v>
      </c>
      <c r="L98" s="4">
        <v>1410.9</v>
      </c>
      <c r="M98" s="4">
        <v>1701.5</v>
      </c>
      <c r="N98" s="4">
        <v>1816.5</v>
      </c>
      <c r="O98" s="4">
        <v>1955.8</v>
      </c>
      <c r="P98" s="4">
        <v>1941.7</v>
      </c>
      <c r="Q98" s="4">
        <v>1893.4</v>
      </c>
      <c r="R98" s="4">
        <v>2048.1</v>
      </c>
      <c r="S98" s="4">
        <v>1223.8</v>
      </c>
      <c r="T98" s="4">
        <v>1577.9</v>
      </c>
      <c r="U98" s="4">
        <v>2076.5</v>
      </c>
      <c r="V98" s="4">
        <v>2693.4</v>
      </c>
      <c r="W98" s="4">
        <v>2355</v>
      </c>
    </row>
    <row r="99" spans="2:24" x14ac:dyDescent="0.2">
      <c r="B99" t="s">
        <v>63</v>
      </c>
      <c r="C99" s="4">
        <v>118.3</v>
      </c>
      <c r="D99" s="4">
        <v>125.1</v>
      </c>
      <c r="E99" s="4">
        <v>122</v>
      </c>
      <c r="F99" s="4">
        <v>125.4</v>
      </c>
      <c r="G99" s="4">
        <v>117.9</v>
      </c>
      <c r="H99" s="4">
        <v>112.7</v>
      </c>
      <c r="I99" s="4">
        <v>116.2</v>
      </c>
      <c r="J99" s="4">
        <v>124.2</v>
      </c>
      <c r="K99" s="4">
        <v>131</v>
      </c>
      <c r="L99" s="4">
        <v>131.5</v>
      </c>
      <c r="M99" s="4">
        <v>137.9</v>
      </c>
      <c r="N99" s="4">
        <v>183.2</v>
      </c>
      <c r="O99" s="4">
        <v>170.3</v>
      </c>
      <c r="P99" s="4">
        <v>181.2</v>
      </c>
      <c r="Q99" s="4">
        <v>176.2</v>
      </c>
      <c r="R99" s="4">
        <v>212.1</v>
      </c>
      <c r="S99" s="4">
        <v>214.4</v>
      </c>
      <c r="T99" s="4">
        <v>227.5</v>
      </c>
      <c r="U99" s="4">
        <v>235.7</v>
      </c>
      <c r="V99" s="4">
        <v>241</v>
      </c>
      <c r="W99" s="4">
        <v>241.3</v>
      </c>
    </row>
    <row r="100" spans="2:24" x14ac:dyDescent="0.2">
      <c r="B100" t="s">
        <v>64</v>
      </c>
      <c r="C100" s="4">
        <f>1+2.7</f>
        <v>3.7</v>
      </c>
      <c r="D100" s="4">
        <v>0.2</v>
      </c>
      <c r="E100" s="4">
        <v>0.8</v>
      </c>
      <c r="F100" s="4">
        <v>0.8</v>
      </c>
      <c r="G100" s="4">
        <v>0.2</v>
      </c>
      <c r="H100" s="4">
        <v>0.2</v>
      </c>
      <c r="I100" s="4">
        <v>-39.799999999999997</v>
      </c>
      <c r="J100" s="4">
        <v>17.5</v>
      </c>
      <c r="K100" s="4">
        <v>12.1</v>
      </c>
      <c r="L100" s="4">
        <v>0.3</v>
      </c>
      <c r="M100" s="4">
        <v>13.2</v>
      </c>
      <c r="N100" s="4">
        <v>13.7</v>
      </c>
      <c r="O100" s="4">
        <v>3.2</v>
      </c>
      <c r="P100" s="4">
        <v>3.9</v>
      </c>
      <c r="Q100" s="4">
        <v>20.399999999999999</v>
      </c>
      <c r="R100" s="4">
        <v>10</v>
      </c>
      <c r="S100" s="4">
        <v>4.2</v>
      </c>
      <c r="T100" s="4">
        <v>13.7</v>
      </c>
      <c r="U100" s="4">
        <v>6.8</v>
      </c>
      <c r="V100" s="4">
        <v>11.1</v>
      </c>
      <c r="W100" s="4">
        <v>2.1</v>
      </c>
    </row>
    <row r="101" spans="2:24" x14ac:dyDescent="0.2">
      <c r="B101" t="s">
        <v>65</v>
      </c>
      <c r="C101" s="4">
        <v>14.9</v>
      </c>
      <c r="D101" s="4">
        <v>10.3</v>
      </c>
      <c r="E101" s="4">
        <v>22.5</v>
      </c>
      <c r="F101" s="4">
        <v>6.2</v>
      </c>
      <c r="G101" s="4">
        <v>10.3</v>
      </c>
      <c r="H101" s="4">
        <v>29</v>
      </c>
      <c r="I101" s="4">
        <v>34</v>
      </c>
      <c r="J101" s="4">
        <v>33.5</v>
      </c>
      <c r="K101" s="4">
        <v>11.5</v>
      </c>
      <c r="L101" s="4">
        <v>13.9</v>
      </c>
      <c r="M101" s="4">
        <v>22.5</v>
      </c>
      <c r="N101" s="4">
        <v>21</v>
      </c>
      <c r="O101" s="4">
        <v>18.3</v>
      </c>
      <c r="P101" s="4">
        <v>33.4</v>
      </c>
      <c r="Q101" s="4">
        <v>41.5</v>
      </c>
      <c r="R101" s="4">
        <v>41.6</v>
      </c>
      <c r="S101" s="4">
        <v>19.8</v>
      </c>
      <c r="T101" s="4">
        <v>46.5</v>
      </c>
      <c r="U101" s="4">
        <v>53.3</v>
      </c>
      <c r="V101" s="4">
        <v>53</v>
      </c>
      <c r="W101" s="4">
        <v>40</v>
      </c>
    </row>
    <row r="102" spans="2:24" x14ac:dyDescent="0.2">
      <c r="B102" t="s">
        <v>80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-213.7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</row>
    <row r="103" spans="2:24" x14ac:dyDescent="0.2">
      <c r="B103" t="s">
        <v>79</v>
      </c>
      <c r="C103" s="4">
        <v>39.299999999999997</v>
      </c>
      <c r="D103" s="4">
        <v>39.200000000000003</v>
      </c>
      <c r="E103" s="4">
        <v>36.299999999999997</v>
      </c>
      <c r="F103" s="4">
        <v>77.599999999999994</v>
      </c>
      <c r="G103" s="4">
        <v>39.200000000000003</v>
      </c>
      <c r="H103" s="4">
        <v>44</v>
      </c>
      <c r="I103" s="4">
        <v>52.9</v>
      </c>
      <c r="J103" s="4">
        <v>49.4</v>
      </c>
      <c r="K103" s="4">
        <v>50.2</v>
      </c>
      <c r="L103" s="4">
        <v>75.2</v>
      </c>
      <c r="M103" s="4">
        <v>81.8</v>
      </c>
      <c r="N103" s="4">
        <v>71.3</v>
      </c>
      <c r="O103" s="4">
        <v>81.7</v>
      </c>
      <c r="P103" s="4">
        <v>90.6</v>
      </c>
      <c r="Q103" s="4">
        <v>102.3</v>
      </c>
      <c r="R103" s="4">
        <v>210.7</v>
      </c>
      <c r="S103" s="4">
        <v>121.5</v>
      </c>
      <c r="T103" s="4">
        <v>110.7</v>
      </c>
      <c r="U103" s="4">
        <v>154.80000000000001</v>
      </c>
      <c r="V103" s="4">
        <v>167.7</v>
      </c>
      <c r="W103" s="4">
        <v>59.6</v>
      </c>
    </row>
    <row r="104" spans="2:24" x14ac:dyDescent="0.2">
      <c r="B104" t="s">
        <v>49</v>
      </c>
      <c r="C104" s="4">
        <v>-24.6</v>
      </c>
      <c r="D104" s="4">
        <v>-15.4</v>
      </c>
      <c r="E104" s="4">
        <v>-110.6</v>
      </c>
      <c r="F104" s="4">
        <v>-60.7</v>
      </c>
      <c r="G104" s="4">
        <v>-15.4</v>
      </c>
      <c r="H104" s="4">
        <v>-7.5</v>
      </c>
      <c r="I104" s="4">
        <v>-270.10000000000002</v>
      </c>
      <c r="J104" s="4">
        <v>-106.2</v>
      </c>
      <c r="K104" s="4">
        <v>-39.700000000000003</v>
      </c>
      <c r="L104" s="4">
        <v>-94.7</v>
      </c>
      <c r="M104" s="4">
        <v>-340.8</v>
      </c>
      <c r="N104" s="4">
        <v>-89</v>
      </c>
      <c r="O104" s="4">
        <v>12.7</v>
      </c>
      <c r="P104" s="4">
        <v>41.5</v>
      </c>
      <c r="Q104" s="4">
        <v>-138.9</v>
      </c>
      <c r="R104" s="4">
        <v>-48.9</v>
      </c>
      <c r="S104" s="4">
        <v>-2.7</v>
      </c>
      <c r="T104" s="4">
        <v>0.8</v>
      </c>
      <c r="U104" s="4">
        <v>-114.6</v>
      </c>
      <c r="V104" s="4">
        <v>-28.3</v>
      </c>
      <c r="W104" s="4">
        <v>79.099999999999994</v>
      </c>
    </row>
    <row r="105" spans="2:24" x14ac:dyDescent="0.2">
      <c r="B105" t="s">
        <v>227</v>
      </c>
      <c r="C105" s="4">
        <v>-32.299999999999997</v>
      </c>
      <c r="D105" s="4">
        <v>-26.4</v>
      </c>
      <c r="E105" s="4">
        <v>-26.1</v>
      </c>
      <c r="F105" s="4">
        <v>95.8</v>
      </c>
      <c r="G105" s="4">
        <v>-26.4</v>
      </c>
      <c r="H105" s="4">
        <v>-22.5</v>
      </c>
      <c r="I105" s="4">
        <v>-97.3</v>
      </c>
      <c r="J105" s="4">
        <v>91.4</v>
      </c>
      <c r="K105" s="4">
        <v>-47.5</v>
      </c>
      <c r="L105" s="4">
        <v>-21.2</v>
      </c>
      <c r="M105" s="4">
        <v>-36.799999999999997</v>
      </c>
      <c r="N105" s="4">
        <v>120.8</v>
      </c>
      <c r="O105" s="4">
        <v>-46.8</v>
      </c>
      <c r="P105" s="4">
        <v>-70.900000000000006</v>
      </c>
      <c r="Q105" s="4">
        <v>-53.8</v>
      </c>
      <c r="R105" s="4">
        <v>175.7</v>
      </c>
      <c r="S105" s="4">
        <v>-33.9</v>
      </c>
      <c r="T105" s="4">
        <v>-50.6</v>
      </c>
      <c r="U105" s="4">
        <v>-81</v>
      </c>
      <c r="V105" s="4">
        <v>169.9</v>
      </c>
      <c r="W105" s="4">
        <v>-34.9</v>
      </c>
    </row>
    <row r="106" spans="2:24" x14ac:dyDescent="0.2">
      <c r="B106" t="s">
        <v>66</v>
      </c>
      <c r="C106" s="4">
        <v>-1115.7</v>
      </c>
      <c r="D106" s="4">
        <v>-512.1</v>
      </c>
      <c r="E106" s="4">
        <v>-915.3</v>
      </c>
      <c r="F106" s="4">
        <v>3074.7</v>
      </c>
      <c r="G106" s="4">
        <v>-512.1</v>
      </c>
      <c r="H106" s="4">
        <v>2374.8000000000002</v>
      </c>
      <c r="I106" s="4">
        <v>265.5</v>
      </c>
      <c r="J106" s="4">
        <v>4647.5</v>
      </c>
      <c r="K106" s="4">
        <v>-1399</v>
      </c>
      <c r="L106" s="4">
        <v>1037</v>
      </c>
      <c r="M106" s="4">
        <v>-409.8</v>
      </c>
      <c r="N106" s="4">
        <v>3213</v>
      </c>
      <c r="O106" s="4">
        <v>-1461.6</v>
      </c>
      <c r="P106" s="4">
        <v>-1836.7</v>
      </c>
      <c r="Q106" s="4">
        <v>-913</v>
      </c>
      <c r="R106" s="4">
        <v>547.70000000000005</v>
      </c>
      <c r="S106" s="4">
        <v>-1799</v>
      </c>
      <c r="T106" s="4">
        <v>-1003.1</v>
      </c>
      <c r="U106" s="4">
        <v>-1381.6</v>
      </c>
      <c r="V106" s="4">
        <v>6237</v>
      </c>
      <c r="W106" s="4">
        <v>-2800.8</v>
      </c>
    </row>
    <row r="107" spans="2:24" s="9" customFormat="1" x14ac:dyDescent="0.2">
      <c r="B107" s="8" t="s">
        <v>67</v>
      </c>
      <c r="C107" s="9">
        <f t="shared" ref="C107:S107" si="155">SUM(C98:C106)</f>
        <v>-605.80000000000018</v>
      </c>
      <c r="D107" s="9">
        <f t="shared" si="155"/>
        <v>371.90000000000009</v>
      </c>
      <c r="E107" s="9">
        <f t="shared" si="155"/>
        <v>191.10000000000014</v>
      </c>
      <c r="F107" s="9">
        <f t="shared" si="155"/>
        <v>4670.3999999999996</v>
      </c>
      <c r="G107" s="9">
        <f t="shared" si="155"/>
        <v>945.1</v>
      </c>
      <c r="H107" s="9">
        <f t="shared" si="155"/>
        <v>3568.9000000000005</v>
      </c>
      <c r="I107" s="9">
        <f t="shared" si="155"/>
        <v>1801.6000000000001</v>
      </c>
      <c r="J107" s="9">
        <f t="shared" si="155"/>
        <v>6417</v>
      </c>
      <c r="K107" s="9">
        <f t="shared" si="155"/>
        <v>-586.1</v>
      </c>
      <c r="L107" s="9">
        <f t="shared" si="155"/>
        <v>2552.9</v>
      </c>
      <c r="M107" s="9">
        <f t="shared" si="155"/>
        <v>1169.5000000000002</v>
      </c>
      <c r="N107" s="9">
        <f t="shared" si="155"/>
        <v>5350.5</v>
      </c>
      <c r="O107" s="9">
        <f t="shared" si="155"/>
        <v>733.59999999999945</v>
      </c>
      <c r="P107" s="9">
        <f t="shared" si="155"/>
        <v>384.70000000000005</v>
      </c>
      <c r="Q107" s="9">
        <f t="shared" si="155"/>
        <v>1128.1000000000001</v>
      </c>
      <c r="R107" s="9">
        <f t="shared" si="155"/>
        <v>3196.9999999999991</v>
      </c>
      <c r="S107" s="9">
        <f t="shared" si="155"/>
        <v>-251.90000000000009</v>
      </c>
      <c r="T107" s="9">
        <f t="shared" ref="T107:U107" si="156">SUM(T98:T106)</f>
        <v>923.4000000000002</v>
      </c>
      <c r="U107" s="9">
        <f t="shared" si="156"/>
        <v>949.90000000000055</v>
      </c>
      <c r="V107" s="9">
        <f t="shared" ref="V107:W107" si="157">SUM(V98:V106)</f>
        <v>9544.7999999999993</v>
      </c>
      <c r="W107" s="9">
        <f t="shared" si="157"/>
        <v>-58.600000000000364</v>
      </c>
      <c r="X107" s="16"/>
    </row>
    <row r="109" spans="2:24" x14ac:dyDescent="0.2">
      <c r="B109" t="s">
        <v>68</v>
      </c>
      <c r="C109" s="4">
        <v>-231.5</v>
      </c>
      <c r="D109" s="4">
        <v>-225.1</v>
      </c>
      <c r="E109" s="4">
        <v>-212.5</v>
      </c>
      <c r="F109" s="4">
        <v>-292.89999999999998</v>
      </c>
      <c r="G109" s="4">
        <v>-189.4</v>
      </c>
      <c r="H109" s="4">
        <v>-241.1</v>
      </c>
      <c r="I109" s="4">
        <v>-197</v>
      </c>
      <c r="J109" s="4">
        <v>-273.2</v>
      </c>
      <c r="K109" s="4">
        <v>-240.1</v>
      </c>
      <c r="L109" s="4">
        <v>-231.5</v>
      </c>
      <c r="M109" s="4">
        <v>-356.6</v>
      </c>
      <c r="N109" s="4">
        <v>-453.6</v>
      </c>
      <c r="O109" s="4">
        <v>-532</v>
      </c>
      <c r="P109" s="4">
        <v>-537.79999999999995</v>
      </c>
      <c r="Q109" s="4">
        <v>-501.8</v>
      </c>
      <c r="R109" s="4">
        <v>-584</v>
      </c>
      <c r="S109" s="4">
        <v>-417.3</v>
      </c>
      <c r="T109" s="4">
        <v>-531</v>
      </c>
      <c r="U109" s="4">
        <v>-414.9</v>
      </c>
      <c r="V109" s="4">
        <v>-704</v>
      </c>
      <c r="W109" s="4">
        <v>-415</v>
      </c>
    </row>
    <row r="110" spans="2:24" x14ac:dyDescent="0.2">
      <c r="B110" t="s">
        <v>69</v>
      </c>
      <c r="C110" s="4">
        <v>-10.8</v>
      </c>
      <c r="D110" s="4">
        <v>-6.7</v>
      </c>
      <c r="E110" s="4">
        <v>-9.1</v>
      </c>
      <c r="F110" s="4">
        <v>-12.2</v>
      </c>
      <c r="G110" s="4">
        <v>-7.9</v>
      </c>
      <c r="H110" s="4">
        <v>-6.3</v>
      </c>
      <c r="I110" s="4">
        <v>-8</v>
      </c>
      <c r="J110" s="4">
        <v>-17.5</v>
      </c>
      <c r="K110" s="4">
        <v>-11.5</v>
      </c>
      <c r="L110" s="4">
        <v>-6</v>
      </c>
      <c r="M110" s="4">
        <v>-7.7</v>
      </c>
      <c r="N110" s="4">
        <v>-12.3</v>
      </c>
      <c r="O110" s="4">
        <v>-7.4</v>
      </c>
      <c r="P110" s="4">
        <v>-6.6</v>
      </c>
      <c r="Q110" s="4">
        <v>-8.3000000000000007</v>
      </c>
      <c r="R110" s="4">
        <v>-18.3</v>
      </c>
      <c r="S110" s="4">
        <v>-6.5</v>
      </c>
      <c r="T110" s="4">
        <v>-7</v>
      </c>
      <c r="U110" s="4">
        <v>-0.9</v>
      </c>
      <c r="V110" s="4">
        <v>-1.5</v>
      </c>
      <c r="W110" s="4">
        <v>-1.5</v>
      </c>
    </row>
    <row r="111" spans="2:24" x14ac:dyDescent="0.2">
      <c r="B111" t="s">
        <v>50</v>
      </c>
      <c r="C111" s="4">
        <v>-310.5</v>
      </c>
      <c r="D111" s="4">
        <v>-0.5</v>
      </c>
      <c r="E111" s="4">
        <v>-343.7</v>
      </c>
      <c r="F111" s="4">
        <v>-820.8</v>
      </c>
      <c r="G111" s="4">
        <v>-608.5</v>
      </c>
      <c r="H111" s="4">
        <v>0</v>
      </c>
      <c r="I111" s="4">
        <v>-50</v>
      </c>
      <c r="J111" s="4">
        <v>-504.2</v>
      </c>
      <c r="K111" s="4">
        <v>-19.600000000000001</v>
      </c>
      <c r="L111" s="4">
        <v>-206.4</v>
      </c>
      <c r="M111" s="4">
        <v>-104.1</v>
      </c>
      <c r="N111" s="4">
        <v>-4.2</v>
      </c>
      <c r="O111" s="4">
        <v>-18.2</v>
      </c>
      <c r="P111" s="4">
        <v>-0.5</v>
      </c>
      <c r="Q111" s="4">
        <v>-3.9</v>
      </c>
      <c r="R111" s="4">
        <v>-1</v>
      </c>
      <c r="S111" s="4">
        <v>-300</v>
      </c>
      <c r="T111" s="4">
        <v>-0.5</v>
      </c>
      <c r="U111" s="4">
        <v>-3.8</v>
      </c>
      <c r="V111" s="4">
        <v>-0.9</v>
      </c>
      <c r="W111" s="4">
        <v>0</v>
      </c>
    </row>
    <row r="112" spans="2:24" x14ac:dyDescent="0.2">
      <c r="B112" t="s">
        <v>70</v>
      </c>
      <c r="C112" s="4">
        <v>108.2</v>
      </c>
      <c r="D112" s="4">
        <v>447.4</v>
      </c>
      <c r="E112" s="4">
        <v>408.7</v>
      </c>
      <c r="F112" s="4">
        <v>394.8</v>
      </c>
      <c r="G112" s="4">
        <v>499.1</v>
      </c>
      <c r="H112" s="4">
        <v>1224.9000000000001</v>
      </c>
      <c r="I112" s="4">
        <v>99.7</v>
      </c>
      <c r="J112" s="4">
        <v>2.7</v>
      </c>
      <c r="K112" s="4">
        <v>259.5</v>
      </c>
      <c r="L112" s="4">
        <v>299.60000000000002</v>
      </c>
      <c r="M112" s="4">
        <v>199.5</v>
      </c>
      <c r="N112" s="4">
        <v>106.1</v>
      </c>
      <c r="O112" s="4">
        <v>121.1</v>
      </c>
      <c r="P112" s="4">
        <v>0</v>
      </c>
      <c r="Q112" s="4">
        <v>3.6</v>
      </c>
      <c r="R112" s="4">
        <v>0.9</v>
      </c>
      <c r="S112" s="4">
        <v>0</v>
      </c>
      <c r="T112" s="4">
        <v>100.4</v>
      </c>
      <c r="U112" s="4">
        <v>203.9</v>
      </c>
      <c r="V112" s="4">
        <v>0.9</v>
      </c>
      <c r="W112" s="4">
        <v>0</v>
      </c>
    </row>
    <row r="113" spans="2:24" x14ac:dyDescent="0.2">
      <c r="B113" t="s">
        <v>71</v>
      </c>
      <c r="C113" s="4">
        <v>0.3</v>
      </c>
      <c r="D113" s="4">
        <v>-0.3</v>
      </c>
      <c r="E113" s="4">
        <v>-10</v>
      </c>
      <c r="F113" s="4">
        <v>-2.2000000000000002</v>
      </c>
      <c r="G113" s="4">
        <v>0</v>
      </c>
      <c r="H113" s="4">
        <v>0</v>
      </c>
      <c r="I113" s="4">
        <v>-124.3</v>
      </c>
      <c r="J113" s="4">
        <v>0</v>
      </c>
      <c r="K113" s="4">
        <v>0</v>
      </c>
      <c r="L113" s="4">
        <v>0</v>
      </c>
      <c r="M113" s="4">
        <v>-240</v>
      </c>
      <c r="N113" s="4">
        <v>0</v>
      </c>
      <c r="O113" s="4">
        <v>0</v>
      </c>
      <c r="P113" s="4">
        <v>0</v>
      </c>
      <c r="Q113" s="4">
        <v>-553</v>
      </c>
      <c r="R113" s="4">
        <v>-8.5</v>
      </c>
      <c r="S113" s="4">
        <v>0.2</v>
      </c>
      <c r="T113" s="4">
        <v>0.3</v>
      </c>
      <c r="U113" s="4">
        <v>0.7</v>
      </c>
      <c r="V113" s="4">
        <v>-527.4</v>
      </c>
      <c r="W113" s="4">
        <v>0.8</v>
      </c>
    </row>
    <row r="114" spans="2:24" x14ac:dyDescent="0.2">
      <c r="B114" t="s">
        <v>80</v>
      </c>
      <c r="C114" s="4">
        <v>0</v>
      </c>
      <c r="D114" s="4">
        <v>0</v>
      </c>
      <c r="E114" s="4">
        <v>0</v>
      </c>
      <c r="F114" s="4">
        <v>0</v>
      </c>
      <c r="H114" s="4">
        <v>12.9</v>
      </c>
      <c r="I114" s="4">
        <v>0</v>
      </c>
      <c r="J114" s="4">
        <v>316.10000000000002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</row>
    <row r="115" spans="2:24" x14ac:dyDescent="0.2">
      <c r="B115" t="s">
        <v>83</v>
      </c>
      <c r="C115" s="4">
        <v>0</v>
      </c>
      <c r="D115" s="4">
        <v>0</v>
      </c>
      <c r="E115" s="4">
        <v>0</v>
      </c>
      <c r="F115" s="4">
        <v>-222.8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-27.6</v>
      </c>
      <c r="R115" s="4">
        <v>-6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</row>
    <row r="116" spans="2:24" s="9" customFormat="1" x14ac:dyDescent="0.2">
      <c r="B116" s="8" t="s">
        <v>72</v>
      </c>
      <c r="C116" s="9">
        <f>SUM(C109:C115)</f>
        <v>-444.29999999999995</v>
      </c>
      <c r="D116" s="9">
        <f>SUM(D109:D115)</f>
        <v>214.79999999999998</v>
      </c>
      <c r="E116" s="9">
        <f>SUM(E109:E115)</f>
        <v>-166.59999999999997</v>
      </c>
      <c r="F116" s="9">
        <f>SUM(F109:F115)</f>
        <v>-956.09999999999991</v>
      </c>
      <c r="G116" s="9">
        <f>SUM(G109:G113)</f>
        <v>-306.69999999999993</v>
      </c>
      <c r="H116" s="9">
        <f t="shared" ref="H116:S116" si="158">SUM(H109:H115)</f>
        <v>990.40000000000009</v>
      </c>
      <c r="I116" s="9">
        <f t="shared" si="158"/>
        <v>-279.60000000000002</v>
      </c>
      <c r="J116" s="9">
        <f t="shared" si="158"/>
        <v>-476.09999999999991</v>
      </c>
      <c r="K116" s="9">
        <f t="shared" si="158"/>
        <v>-11.699999999999989</v>
      </c>
      <c r="L116" s="9">
        <f t="shared" si="158"/>
        <v>-144.29999999999995</v>
      </c>
      <c r="M116" s="9">
        <f t="shared" si="158"/>
        <v>-508.9</v>
      </c>
      <c r="N116" s="9">
        <f t="shared" si="158"/>
        <v>-364</v>
      </c>
      <c r="O116" s="9">
        <f t="shared" si="158"/>
        <v>-436.5</v>
      </c>
      <c r="P116" s="9">
        <f t="shared" si="158"/>
        <v>-544.9</v>
      </c>
      <c r="Q116" s="9">
        <f t="shared" si="158"/>
        <v>-1091</v>
      </c>
      <c r="R116" s="9">
        <f t="shared" si="158"/>
        <v>-616.9</v>
      </c>
      <c r="S116" s="9">
        <f t="shared" si="158"/>
        <v>-723.59999999999991</v>
      </c>
      <c r="T116" s="9">
        <f t="shared" ref="T116:U116" si="159">SUM(T109:T115)</f>
        <v>-437.8</v>
      </c>
      <c r="U116" s="9">
        <f t="shared" si="159"/>
        <v>-214.99999999999997</v>
      </c>
      <c r="V116" s="9">
        <f t="shared" ref="V116:W116" si="160">SUM(V109:V115)</f>
        <v>-1232.9000000000001</v>
      </c>
      <c r="W116" s="9">
        <f t="shared" si="160"/>
        <v>-415.7</v>
      </c>
      <c r="X116" s="16"/>
    </row>
    <row r="118" spans="2:24" x14ac:dyDescent="0.2">
      <c r="B118" t="s">
        <v>82</v>
      </c>
      <c r="C118" s="4">
        <v>-507.5</v>
      </c>
      <c r="D118" s="4">
        <v>-564.79999999999995</v>
      </c>
      <c r="E118" s="4">
        <v>0</v>
      </c>
      <c r="F118" s="4">
        <v>-501.6</v>
      </c>
      <c r="G118" s="4">
        <v>-1567.6</v>
      </c>
      <c r="H118" s="4">
        <v>-639.1</v>
      </c>
      <c r="I118" s="4">
        <v>0</v>
      </c>
      <c r="J118" s="4">
        <v>-729.2</v>
      </c>
      <c r="K118" s="4">
        <v>0</v>
      </c>
      <c r="L118" s="4">
        <v>-1475.3</v>
      </c>
      <c r="M118" s="4">
        <v>-543.5</v>
      </c>
      <c r="N118" s="4">
        <v>-541.1</v>
      </c>
      <c r="O118" s="4">
        <v>-541.1</v>
      </c>
      <c r="P118" s="4">
        <v>-666.1</v>
      </c>
      <c r="Q118" s="4">
        <v>-570.4</v>
      </c>
      <c r="R118" s="4">
        <v>-570.79999999999995</v>
      </c>
      <c r="S118" s="4">
        <v>-571</v>
      </c>
      <c r="T118" s="4">
        <v>-688.3</v>
      </c>
      <c r="U118" s="4">
        <v>-595.79999999999995</v>
      </c>
      <c r="V118" s="4">
        <v>-597.79999999999995</v>
      </c>
      <c r="W118" s="4">
        <v>-597.20000000000005</v>
      </c>
    </row>
    <row r="119" spans="2:24" x14ac:dyDescent="0.2">
      <c r="B119" t="s">
        <v>228</v>
      </c>
      <c r="C119" s="4">
        <v>0</v>
      </c>
      <c r="D119" s="4">
        <v>0</v>
      </c>
      <c r="E119" s="4">
        <v>0</v>
      </c>
      <c r="F119" s="4">
        <v>-700</v>
      </c>
      <c r="H119" s="4">
        <v>-1983.9</v>
      </c>
      <c r="I119" s="4">
        <v>-2401.6</v>
      </c>
      <c r="J119" s="4">
        <v>-2607.1999999999998</v>
      </c>
      <c r="K119" s="4">
        <v>-2038.2</v>
      </c>
      <c r="L119" s="4">
        <v>-1178.5</v>
      </c>
      <c r="M119" s="4">
        <v>-1087.9000000000001</v>
      </c>
      <c r="N119" s="4">
        <v>-335</v>
      </c>
      <c r="O119" s="4">
        <v>-396.2</v>
      </c>
      <c r="P119" s="4">
        <v>-492.6</v>
      </c>
      <c r="Q119" s="4">
        <v>-111.1</v>
      </c>
      <c r="R119" s="4">
        <v>0</v>
      </c>
      <c r="S119" s="4">
        <v>-385.1</v>
      </c>
      <c r="T119" s="4">
        <v>-114.9</v>
      </c>
      <c r="U119" s="4">
        <v>0</v>
      </c>
      <c r="V119" s="4">
        <v>0</v>
      </c>
      <c r="W119" s="4">
        <v>-2592.6</v>
      </c>
    </row>
    <row r="120" spans="2:24" x14ac:dyDescent="0.2">
      <c r="B120" t="s">
        <v>73</v>
      </c>
      <c r="C120" s="4">
        <v>8.6</v>
      </c>
      <c r="D120" s="4">
        <v>11</v>
      </c>
      <c r="E120" s="4">
        <v>10.4</v>
      </c>
      <c r="F120" s="4">
        <v>7.9</v>
      </c>
      <c r="G120" s="4">
        <v>11</v>
      </c>
      <c r="H120" s="4">
        <v>13.6</v>
      </c>
      <c r="I120" s="4">
        <v>12.3</v>
      </c>
      <c r="J120" s="4">
        <v>12</v>
      </c>
      <c r="K120" s="4">
        <v>21.5</v>
      </c>
      <c r="L120" s="4">
        <v>21.5</v>
      </c>
      <c r="M120" s="4">
        <v>19.899999999999999</v>
      </c>
      <c r="N120" s="4">
        <v>18.899999999999999</v>
      </c>
      <c r="O120" s="4">
        <v>22.7</v>
      </c>
      <c r="P120" s="4">
        <v>25.1</v>
      </c>
      <c r="Q120" s="4">
        <v>25.7</v>
      </c>
      <c r="R120" s="4">
        <v>25.9</v>
      </c>
      <c r="S120" s="4">
        <v>29.3</v>
      </c>
      <c r="T120" s="4">
        <v>31.2</v>
      </c>
      <c r="U120" s="4">
        <v>31.5</v>
      </c>
      <c r="V120" s="4">
        <v>32</v>
      </c>
      <c r="W120" s="4">
        <v>38</v>
      </c>
    </row>
    <row r="121" spans="2:24" x14ac:dyDescent="0.2">
      <c r="B121" t="s">
        <v>74</v>
      </c>
      <c r="C121" s="4">
        <v>739.8</v>
      </c>
      <c r="D121" s="4">
        <v>746.5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495.6</v>
      </c>
      <c r="M121" s="4">
        <v>0</v>
      </c>
      <c r="N121" s="4">
        <v>0</v>
      </c>
      <c r="O121" s="4">
        <v>0</v>
      </c>
      <c r="P121" s="4">
        <v>997.8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22.5</v>
      </c>
      <c r="W121" s="4">
        <v>0</v>
      </c>
    </row>
    <row r="122" spans="2:24" x14ac:dyDescent="0.2">
      <c r="B122" t="s">
        <v>75</v>
      </c>
      <c r="C122" s="4">
        <v>-0.9</v>
      </c>
      <c r="D122" s="4">
        <v>-0.8</v>
      </c>
      <c r="E122" s="4">
        <v>-0.9</v>
      </c>
      <c r="F122" s="4">
        <v>-0.7</v>
      </c>
      <c r="G122" s="4">
        <v>-3.6</v>
      </c>
      <c r="H122" s="4">
        <v>-3.2</v>
      </c>
      <c r="I122" s="4">
        <v>-2.6</v>
      </c>
      <c r="J122" s="4">
        <v>-2.6</v>
      </c>
      <c r="K122" s="4">
        <v>-13.5</v>
      </c>
      <c r="L122" s="4">
        <v>-500.7</v>
      </c>
      <c r="M122" s="4">
        <v>-1.2</v>
      </c>
      <c r="N122" s="4">
        <v>-0.8</v>
      </c>
      <c r="O122" s="4">
        <v>-1.5</v>
      </c>
      <c r="P122" s="4">
        <v>-0.7</v>
      </c>
      <c r="Q122" s="4">
        <v>-750.4</v>
      </c>
      <c r="R122" s="4">
        <v>-0.2</v>
      </c>
      <c r="S122" s="4">
        <v>-0.6</v>
      </c>
      <c r="T122" s="4">
        <v>-0.3</v>
      </c>
      <c r="U122" s="4">
        <v>-0.7</v>
      </c>
      <c r="V122" s="4">
        <v>-24.1</v>
      </c>
      <c r="W122" s="4">
        <v>0.4</v>
      </c>
    </row>
    <row r="123" spans="2:24" s="9" customFormat="1" x14ac:dyDescent="0.2">
      <c r="B123" s="8" t="s">
        <v>76</v>
      </c>
      <c r="C123" s="9">
        <f t="shared" ref="C123:S123" si="161">SUM(C118:C122)</f>
        <v>239.99999999999997</v>
      </c>
      <c r="D123" s="9">
        <f t="shared" si="161"/>
        <v>191.90000000000003</v>
      </c>
      <c r="E123" s="9">
        <f t="shared" si="161"/>
        <v>9.5</v>
      </c>
      <c r="F123" s="9">
        <f t="shared" si="161"/>
        <v>-1194.3999999999999</v>
      </c>
      <c r="G123" s="9">
        <f t="shared" si="161"/>
        <v>-1560.1999999999998</v>
      </c>
      <c r="H123" s="9">
        <f t="shared" si="161"/>
        <v>-2612.6</v>
      </c>
      <c r="I123" s="9">
        <f t="shared" si="161"/>
        <v>-2391.8999999999996</v>
      </c>
      <c r="J123" s="9">
        <f t="shared" si="161"/>
        <v>-3326.9999999999995</v>
      </c>
      <c r="K123" s="9">
        <f t="shared" si="161"/>
        <v>-2030.2</v>
      </c>
      <c r="L123" s="9">
        <f t="shared" si="161"/>
        <v>-2637.4</v>
      </c>
      <c r="M123" s="9">
        <f t="shared" si="161"/>
        <v>-1612.7</v>
      </c>
      <c r="N123" s="9">
        <f t="shared" si="161"/>
        <v>-858</v>
      </c>
      <c r="O123" s="9">
        <f t="shared" si="161"/>
        <v>-916.09999999999991</v>
      </c>
      <c r="P123" s="9">
        <f t="shared" si="161"/>
        <v>-136.50000000000017</v>
      </c>
      <c r="Q123" s="9">
        <f t="shared" si="161"/>
        <v>-1406.1999999999998</v>
      </c>
      <c r="R123" s="9">
        <f t="shared" si="161"/>
        <v>-545.1</v>
      </c>
      <c r="S123" s="9">
        <f t="shared" si="161"/>
        <v>-927.40000000000009</v>
      </c>
      <c r="T123" s="9">
        <f t="shared" ref="T123:U123" si="162">SUM(T118:T122)</f>
        <v>-772.29999999999984</v>
      </c>
      <c r="U123" s="9">
        <f t="shared" si="162"/>
        <v>-565</v>
      </c>
      <c r="V123" s="9">
        <f t="shared" ref="V123:W123" si="163">SUM(V118:V122)</f>
        <v>-567.4</v>
      </c>
      <c r="W123" s="9">
        <f t="shared" si="163"/>
        <v>-3151.4</v>
      </c>
      <c r="X123" s="16"/>
    </row>
    <row r="125" spans="2:24" x14ac:dyDescent="0.2">
      <c r="B125" t="s">
        <v>77</v>
      </c>
      <c r="C125" s="4">
        <v>1.5</v>
      </c>
      <c r="D125" s="4">
        <v>-3.2</v>
      </c>
      <c r="E125" s="4">
        <v>-1.6</v>
      </c>
      <c r="F125" s="4">
        <v>-1.6</v>
      </c>
      <c r="G125" s="4">
        <v>3</v>
      </c>
      <c r="H125" s="4">
        <v>-3.9</v>
      </c>
      <c r="I125" s="4">
        <v>2</v>
      </c>
      <c r="J125" s="4">
        <v>19.2</v>
      </c>
      <c r="K125" s="4">
        <v>0.3</v>
      </c>
      <c r="L125" s="4">
        <v>1.2</v>
      </c>
      <c r="M125" s="4">
        <v>8.4</v>
      </c>
      <c r="N125" s="4">
        <v>-13</v>
      </c>
      <c r="O125" s="4">
        <v>-1.6</v>
      </c>
      <c r="P125" s="4">
        <v>-9.6999999999999993</v>
      </c>
      <c r="Q125" s="4">
        <v>3.3</v>
      </c>
      <c r="R125" s="4">
        <v>-5.8</v>
      </c>
      <c r="S125" s="4">
        <v>-1</v>
      </c>
      <c r="T125" s="4">
        <v>-0.5</v>
      </c>
      <c r="U125" s="4">
        <v>-4.2</v>
      </c>
      <c r="V125" s="4">
        <v>12.1</v>
      </c>
      <c r="W125" s="4">
        <v>-11.8</v>
      </c>
    </row>
    <row r="126" spans="2:24" x14ac:dyDescent="0.2">
      <c r="B126" t="s">
        <v>78</v>
      </c>
      <c r="C126" s="4">
        <f t="shared" ref="C126:S126" si="164">+C107+C116+C123+C125</f>
        <v>-808.60000000000014</v>
      </c>
      <c r="D126" s="4">
        <f t="shared" si="164"/>
        <v>775.40000000000009</v>
      </c>
      <c r="E126" s="4">
        <f t="shared" si="164"/>
        <v>32.400000000000169</v>
      </c>
      <c r="F126" s="4">
        <f t="shared" si="164"/>
        <v>2518.2999999999997</v>
      </c>
      <c r="G126" s="4">
        <f t="shared" si="164"/>
        <v>-918.79999999999973</v>
      </c>
      <c r="H126" s="4">
        <f t="shared" si="164"/>
        <v>1942.8000000000011</v>
      </c>
      <c r="I126" s="4">
        <f t="shared" si="164"/>
        <v>-867.89999999999964</v>
      </c>
      <c r="J126" s="4">
        <f t="shared" si="164"/>
        <v>2633.1</v>
      </c>
      <c r="K126" s="4">
        <f t="shared" si="164"/>
        <v>-2627.7</v>
      </c>
      <c r="L126" s="4">
        <f t="shared" si="164"/>
        <v>-227.59999999999974</v>
      </c>
      <c r="M126" s="4">
        <f t="shared" si="164"/>
        <v>-943.69999999999982</v>
      </c>
      <c r="N126" s="4">
        <f t="shared" si="164"/>
        <v>4115.5</v>
      </c>
      <c r="O126" s="4">
        <f t="shared" si="164"/>
        <v>-620.60000000000048</v>
      </c>
      <c r="P126" s="4">
        <f t="shared" si="164"/>
        <v>-306.40000000000009</v>
      </c>
      <c r="Q126" s="4">
        <f t="shared" si="164"/>
        <v>-1365.7999999999997</v>
      </c>
      <c r="R126" s="4">
        <f t="shared" si="164"/>
        <v>2029.1999999999991</v>
      </c>
      <c r="S126" s="4">
        <f t="shared" si="164"/>
        <v>-1903.9</v>
      </c>
      <c r="T126" s="4">
        <f t="shared" ref="T126:V126" si="165">+T107+T116+T123+T125</f>
        <v>-287.19999999999965</v>
      </c>
      <c r="U126" s="4">
        <f t="shared" si="165"/>
        <v>165.70000000000056</v>
      </c>
      <c r="V126" s="4">
        <f t="shared" si="165"/>
        <v>7756.6</v>
      </c>
      <c r="W126" s="4">
        <f t="shared" ref="W126" si="166">+W107+W116+W123+W125</f>
        <v>-3637.5000000000005</v>
      </c>
    </row>
    <row r="127" spans="2:24" x14ac:dyDescent="0.2">
      <c r="B127" t="s">
        <v>81</v>
      </c>
      <c r="C127" s="4">
        <v>836</v>
      </c>
      <c r="D127" s="4">
        <f>+C127+D126</f>
        <v>1611.4</v>
      </c>
      <c r="E127" s="4">
        <f>+D127+E126</f>
        <v>1643.8000000000002</v>
      </c>
      <c r="F127" s="4">
        <f t="shared" ref="F127:V127" si="167">+E127+F126</f>
        <v>4162.1000000000004</v>
      </c>
      <c r="G127" s="4">
        <f t="shared" si="167"/>
        <v>3243.3000000000006</v>
      </c>
      <c r="H127" s="4">
        <f t="shared" si="167"/>
        <v>5186.1000000000022</v>
      </c>
      <c r="I127" s="4">
        <f t="shared" si="167"/>
        <v>4318.2000000000025</v>
      </c>
      <c r="J127" s="4">
        <f t="shared" si="167"/>
        <v>6951.3000000000029</v>
      </c>
      <c r="K127" s="4">
        <f t="shared" si="167"/>
        <v>4323.6000000000031</v>
      </c>
      <c r="L127" s="4">
        <f t="shared" si="167"/>
        <v>4096.0000000000036</v>
      </c>
      <c r="M127" s="4">
        <f t="shared" si="167"/>
        <v>3152.3000000000038</v>
      </c>
      <c r="N127" s="4">
        <f t="shared" si="167"/>
        <v>7267.8000000000038</v>
      </c>
      <c r="O127" s="4">
        <f t="shared" si="167"/>
        <v>6647.2000000000035</v>
      </c>
      <c r="P127" s="4">
        <f t="shared" si="167"/>
        <v>6340.8000000000029</v>
      </c>
      <c r="Q127" s="4">
        <f t="shared" si="167"/>
        <v>4975.0000000000036</v>
      </c>
      <c r="R127" s="4">
        <f t="shared" si="167"/>
        <v>7004.2000000000025</v>
      </c>
      <c r="S127" s="4">
        <f t="shared" si="167"/>
        <v>5100.3000000000029</v>
      </c>
      <c r="T127" s="4">
        <f t="shared" si="167"/>
        <v>4813.1000000000031</v>
      </c>
      <c r="U127" s="4">
        <f t="shared" si="167"/>
        <v>4978.8000000000038</v>
      </c>
      <c r="V127" s="4">
        <f t="shared" si="167"/>
        <v>12735.400000000005</v>
      </c>
      <c r="W127" s="4">
        <f>+V127+W126</f>
        <v>9097.9000000000051</v>
      </c>
    </row>
    <row r="129" spans="2:37" x14ac:dyDescent="0.2">
      <c r="B129" t="s">
        <v>130</v>
      </c>
      <c r="C129" s="4">
        <f t="shared" ref="C129:S129" si="168">+C107+C109</f>
        <v>-837.30000000000018</v>
      </c>
      <c r="D129" s="4">
        <f t="shared" si="168"/>
        <v>146.8000000000001</v>
      </c>
      <c r="E129" s="4">
        <f t="shared" si="168"/>
        <v>-21.399999999999864</v>
      </c>
      <c r="F129" s="4">
        <f t="shared" si="168"/>
        <v>4377.5</v>
      </c>
      <c r="G129" s="4">
        <f t="shared" si="168"/>
        <v>755.7</v>
      </c>
      <c r="H129" s="4">
        <f t="shared" si="168"/>
        <v>3327.8000000000006</v>
      </c>
      <c r="I129" s="4">
        <f t="shared" si="168"/>
        <v>1604.6000000000001</v>
      </c>
      <c r="J129" s="4">
        <f t="shared" si="168"/>
        <v>6143.8</v>
      </c>
      <c r="K129" s="4">
        <f t="shared" si="168"/>
        <v>-826.2</v>
      </c>
      <c r="L129" s="4">
        <f t="shared" si="168"/>
        <v>2321.4</v>
      </c>
      <c r="M129" s="4">
        <f t="shared" si="168"/>
        <v>812.9000000000002</v>
      </c>
      <c r="N129" s="4">
        <f t="shared" si="168"/>
        <v>4896.8999999999996</v>
      </c>
      <c r="O129" s="4">
        <f t="shared" si="168"/>
        <v>201.59999999999945</v>
      </c>
      <c r="P129" s="4">
        <f t="shared" si="168"/>
        <v>-153.09999999999991</v>
      </c>
      <c r="Q129" s="4">
        <f t="shared" si="168"/>
        <v>626.30000000000018</v>
      </c>
      <c r="R129" s="4">
        <f t="shared" si="168"/>
        <v>2612.9999999999991</v>
      </c>
      <c r="S129" s="4">
        <f t="shared" si="168"/>
        <v>-669.2</v>
      </c>
      <c r="T129" s="4">
        <f>+T107+T109</f>
        <v>392.4000000000002</v>
      </c>
      <c r="U129" s="4">
        <f>+U107+U109</f>
        <v>535.00000000000057</v>
      </c>
      <c r="V129" s="4">
        <f>+V107+V109</f>
        <v>8840.7999999999993</v>
      </c>
      <c r="W129" s="4">
        <f>+W107+W109</f>
        <v>-473.60000000000036</v>
      </c>
    </row>
    <row r="130" spans="2:37" x14ac:dyDescent="0.2">
      <c r="B130" t="s">
        <v>131</v>
      </c>
      <c r="F130" s="4">
        <f t="shared" ref="F130:S130" si="169">+SUM(C129:F129)</f>
        <v>3665.6</v>
      </c>
      <c r="G130" s="4">
        <f>+SUM(D129:G129)</f>
        <v>5258.6</v>
      </c>
      <c r="H130" s="4">
        <f t="shared" si="169"/>
        <v>8439.6</v>
      </c>
      <c r="I130" s="4">
        <f t="shared" si="169"/>
        <v>10065.6</v>
      </c>
      <c r="J130" s="4">
        <f t="shared" si="169"/>
        <v>11831.900000000001</v>
      </c>
      <c r="K130" s="4">
        <f t="shared" si="169"/>
        <v>10250</v>
      </c>
      <c r="L130" s="4">
        <f t="shared" si="169"/>
        <v>9243.6</v>
      </c>
      <c r="M130" s="4">
        <f t="shared" si="169"/>
        <v>8451.9</v>
      </c>
      <c r="N130" s="4">
        <f t="shared" si="169"/>
        <v>7205</v>
      </c>
      <c r="O130" s="4">
        <f t="shared" si="169"/>
        <v>8232.7999999999993</v>
      </c>
      <c r="P130" s="4">
        <f t="shared" si="169"/>
        <v>5758.2999999999993</v>
      </c>
      <c r="Q130" s="4">
        <f t="shared" si="169"/>
        <v>5571.7</v>
      </c>
      <c r="R130" s="4">
        <f t="shared" si="169"/>
        <v>3287.7999999999988</v>
      </c>
      <c r="S130" s="4">
        <f t="shared" si="169"/>
        <v>2416.9999999999991</v>
      </c>
      <c r="T130" s="4">
        <f>+SUM(Q129:T129)</f>
        <v>2962.4999999999995</v>
      </c>
      <c r="U130" s="4">
        <f>+SUM(R129:U129)</f>
        <v>2871.2</v>
      </c>
      <c r="V130" s="4">
        <f>+SUM(S129:V129)</f>
        <v>9099</v>
      </c>
      <c r="W130" s="4">
        <f>+SUM(T129:W129)</f>
        <v>9294.6</v>
      </c>
    </row>
    <row r="133" spans="2:37" x14ac:dyDescent="0.2">
      <c r="B133" t="s">
        <v>132</v>
      </c>
      <c r="D133" s="4">
        <v>24330</v>
      </c>
      <c r="E133" s="4">
        <v>24749</v>
      </c>
      <c r="F133" s="4">
        <v>26614</v>
      </c>
      <c r="G133" s="4">
        <v>27248</v>
      </c>
      <c r="H133" s="4">
        <v>27777</v>
      </c>
      <c r="I133" s="4">
        <v>29025</v>
      </c>
      <c r="J133" s="4">
        <v>29861</v>
      </c>
      <c r="K133" s="4">
        <v>30861</v>
      </c>
      <c r="L133" s="4">
        <v>32627</v>
      </c>
      <c r="M133" s="4">
        <v>34720</v>
      </c>
      <c r="N133" s="4">
        <v>36112</v>
      </c>
      <c r="O133" s="4">
        <v>37704</v>
      </c>
      <c r="P133" s="4">
        <v>38866</v>
      </c>
      <c r="Q133" s="4">
        <v>39850</v>
      </c>
      <c r="R133" s="4">
        <v>40310</v>
      </c>
      <c r="S133" s="4">
        <v>40940</v>
      </c>
      <c r="T133" s="4">
        <v>41505</v>
      </c>
      <c r="U133" s="4">
        <v>42372</v>
      </c>
      <c r="V133" s="4">
        <v>42786</v>
      </c>
      <c r="W133" s="4">
        <v>43129</v>
      </c>
      <c r="AF133" s="4">
        <v>20044</v>
      </c>
      <c r="AG133" s="4">
        <v>23219</v>
      </c>
      <c r="AH133" s="4">
        <v>25082</v>
      </c>
      <c r="AI133" s="4">
        <v>28747</v>
      </c>
      <c r="AJ133" s="4">
        <v>34719</v>
      </c>
      <c r="AK133" s="4">
        <v>38656</v>
      </c>
    </row>
    <row r="134" spans="2:37" x14ac:dyDescent="0.2">
      <c r="B134" t="s">
        <v>133</v>
      </c>
      <c r="D134" s="4">
        <v>1482</v>
      </c>
      <c r="E134" s="4">
        <v>1451</v>
      </c>
      <c r="F134" s="4">
        <v>1459</v>
      </c>
      <c r="G134" s="4">
        <v>1561</v>
      </c>
      <c r="H134" s="4">
        <v>1609</v>
      </c>
      <c r="I134" s="4">
        <v>1659</v>
      </c>
      <c r="J134" s="4">
        <v>2155</v>
      </c>
      <c r="K134" s="4">
        <v>2329</v>
      </c>
      <c r="L134" s="4">
        <v>2689</v>
      </c>
      <c r="M134" s="4">
        <v>2875</v>
      </c>
      <c r="N134" s="4">
        <v>2974</v>
      </c>
      <c r="O134" s="4">
        <v>2816</v>
      </c>
      <c r="P134" s="4">
        <v>2676</v>
      </c>
      <c r="Q134" s="4">
        <v>2416</v>
      </c>
      <c r="R134" s="4">
        <v>2107</v>
      </c>
      <c r="S134" s="4">
        <v>1773</v>
      </c>
      <c r="T134" s="4">
        <v>1584</v>
      </c>
      <c r="U134" s="4">
        <v>1417</v>
      </c>
      <c r="V134" s="4">
        <v>1241</v>
      </c>
      <c r="W134" s="4">
        <v>998</v>
      </c>
      <c r="AF134" s="4">
        <v>3203</v>
      </c>
      <c r="AG134" s="4">
        <v>1681</v>
      </c>
      <c r="AH134" s="4">
        <v>1399</v>
      </c>
      <c r="AI134" s="4">
        <v>2095</v>
      </c>
      <c r="AJ134" s="4">
        <v>2924</v>
      </c>
      <c r="AK134" s="4">
        <v>2091</v>
      </c>
    </row>
    <row r="135" spans="2:37" x14ac:dyDescent="0.2">
      <c r="B135" t="s">
        <v>90</v>
      </c>
      <c r="AF135" s="4">
        <v>23247</v>
      </c>
      <c r="AG135" s="4">
        <v>24900</v>
      </c>
      <c r="AH135" s="4">
        <v>26481</v>
      </c>
      <c r="AI135" s="4">
        <v>30842</v>
      </c>
      <c r="AJ135" s="4">
        <v>37643</v>
      </c>
      <c r="AK135" s="4">
        <v>40747</v>
      </c>
    </row>
    <row r="136" spans="2:37" x14ac:dyDescent="0.2">
      <c r="B136" t="s">
        <v>91</v>
      </c>
      <c r="AK136" s="4">
        <v>15604</v>
      </c>
    </row>
    <row r="137" spans="2:37" x14ac:dyDescent="0.2">
      <c r="B137" t="s">
        <v>28</v>
      </c>
      <c r="AK137" s="4">
        <v>7007</v>
      </c>
    </row>
    <row r="138" spans="2:37" s="10" customFormat="1" x14ac:dyDescent="0.2">
      <c r="B138" t="s">
        <v>92</v>
      </c>
      <c r="X138" s="15"/>
      <c r="AG138" s="4"/>
      <c r="AH138" s="4"/>
      <c r="AI138" s="4"/>
      <c r="AJ138" s="4"/>
      <c r="AK138" s="4"/>
    </row>
  </sheetData>
  <hyperlinks>
    <hyperlink ref="A1" location="Main!A1" display="Main!A1" xr:uid="{A798038C-EE55-447C-922E-4AD465F7DA00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1BA0-EFB7-4E4A-9EFD-506A6148B84C}">
  <dimension ref="A1:BA20"/>
  <sheetViews>
    <sheetView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AA23" sqref="AA23"/>
    </sheetView>
  </sheetViews>
  <sheetFormatPr defaultRowHeight="12.75" x14ac:dyDescent="0.2"/>
  <cols>
    <col min="1" max="1" width="2.7109375" customWidth="1"/>
    <col min="2" max="2" width="11.28515625" bestFit="1" customWidth="1"/>
  </cols>
  <sheetData>
    <row r="1" spans="1:53" x14ac:dyDescent="0.2">
      <c r="A1" s="27" t="s">
        <v>184</v>
      </c>
    </row>
    <row r="3" spans="1:53" x14ac:dyDescent="0.2"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180</v>
      </c>
      <c r="X3" s="2" t="s">
        <v>181</v>
      </c>
      <c r="Y3" s="2" t="s">
        <v>182</v>
      </c>
      <c r="Z3" s="2" t="s">
        <v>183</v>
      </c>
      <c r="AA3" s="2"/>
      <c r="AB3" s="12">
        <v>2014</v>
      </c>
      <c r="AC3" s="12">
        <f t="shared" ref="AC3:BA3" si="0">+AB3+1</f>
        <v>2015</v>
      </c>
      <c r="AD3" s="12">
        <f t="shared" si="0"/>
        <v>2016</v>
      </c>
      <c r="AE3" s="12">
        <f t="shared" si="0"/>
        <v>2017</v>
      </c>
      <c r="AF3" s="12">
        <f t="shared" si="0"/>
        <v>2018</v>
      </c>
      <c r="AG3" s="12">
        <f t="shared" si="0"/>
        <v>2019</v>
      </c>
      <c r="AH3" s="12">
        <f t="shared" si="0"/>
        <v>2020</v>
      </c>
      <c r="AI3" s="12">
        <f t="shared" si="0"/>
        <v>2021</v>
      </c>
      <c r="AJ3" s="12">
        <f t="shared" si="0"/>
        <v>2022</v>
      </c>
      <c r="AK3" s="12">
        <f t="shared" si="0"/>
        <v>2023</v>
      </c>
      <c r="AL3" s="12">
        <f t="shared" si="0"/>
        <v>2024</v>
      </c>
      <c r="AM3" s="12">
        <f t="shared" si="0"/>
        <v>2025</v>
      </c>
      <c r="AN3" s="12">
        <f t="shared" si="0"/>
        <v>2026</v>
      </c>
      <c r="AO3" s="12">
        <f t="shared" si="0"/>
        <v>2027</v>
      </c>
      <c r="AP3" s="12">
        <f t="shared" si="0"/>
        <v>2028</v>
      </c>
      <c r="AQ3" s="12">
        <f t="shared" si="0"/>
        <v>2029</v>
      </c>
      <c r="AR3" s="12">
        <f t="shared" si="0"/>
        <v>2030</v>
      </c>
      <c r="AS3" s="12">
        <f t="shared" si="0"/>
        <v>2031</v>
      </c>
      <c r="AT3" s="12">
        <f t="shared" si="0"/>
        <v>2032</v>
      </c>
      <c r="AU3" s="12">
        <f t="shared" si="0"/>
        <v>2033</v>
      </c>
      <c r="AV3" s="12">
        <f t="shared" si="0"/>
        <v>2034</v>
      </c>
      <c r="AW3" s="12">
        <f t="shared" si="0"/>
        <v>2035</v>
      </c>
      <c r="AX3" s="12">
        <f t="shared" si="0"/>
        <v>2036</v>
      </c>
      <c r="AY3" s="12">
        <f t="shared" si="0"/>
        <v>2037</v>
      </c>
      <c r="AZ3" s="12">
        <f t="shared" si="0"/>
        <v>2038</v>
      </c>
      <c r="BA3" s="12">
        <f t="shared" si="0"/>
        <v>2039</v>
      </c>
    </row>
    <row r="4" spans="1:53" s="15" customFormat="1" x14ac:dyDescent="0.2">
      <c r="B4" s="14" t="s">
        <v>101</v>
      </c>
      <c r="G4" s="15">
        <v>0.15</v>
      </c>
      <c r="H4" s="15">
        <v>0.17</v>
      </c>
      <c r="I4" s="15">
        <v>0.1</v>
      </c>
      <c r="J4" s="15">
        <v>0.22</v>
      </c>
      <c r="K4" s="15">
        <v>0.34</v>
      </c>
      <c r="L4" s="15">
        <v>0.1</v>
      </c>
      <c r="M4" s="15">
        <v>0.15</v>
      </c>
      <c r="N4" s="15">
        <v>0.09</v>
      </c>
      <c r="O4" s="15">
        <v>0.08</v>
      </c>
      <c r="P4" s="15">
        <v>0.24</v>
      </c>
      <c r="Q4" s="15">
        <v>0.46</v>
      </c>
      <c r="R4" s="15">
        <v>0.39</v>
      </c>
      <c r="S4" s="15">
        <v>0.49</v>
      </c>
      <c r="T4" s="15">
        <v>0.49</v>
      </c>
      <c r="U4" s="15">
        <v>0.47</v>
      </c>
      <c r="V4" s="15">
        <v>0.27</v>
      </c>
      <c r="W4" s="15">
        <v>0.27</v>
      </c>
    </row>
    <row r="5" spans="1:53" s="15" customFormat="1" x14ac:dyDescent="0.2">
      <c r="B5" s="14" t="s">
        <v>102</v>
      </c>
      <c r="G5" s="15">
        <v>0.44</v>
      </c>
      <c r="H5" s="15">
        <v>0.39</v>
      </c>
      <c r="I5" s="15">
        <v>0.33</v>
      </c>
      <c r="J5" s="15">
        <v>0.27</v>
      </c>
      <c r="K5" s="15">
        <v>0.28999999999999998</v>
      </c>
      <c r="L5" s="15">
        <v>0.33</v>
      </c>
      <c r="M5" s="15">
        <v>0.24</v>
      </c>
      <c r="N5" s="15">
        <v>0.28000000000000003</v>
      </c>
      <c r="O5" s="15">
        <v>0.26</v>
      </c>
      <c r="P5" s="15">
        <v>0.27</v>
      </c>
      <c r="Q5" s="15">
        <v>0.2</v>
      </c>
      <c r="R5" s="15">
        <v>0.25</v>
      </c>
      <c r="S5" s="15">
        <v>0.19</v>
      </c>
      <c r="T5" s="15">
        <v>0.28000000000000003</v>
      </c>
      <c r="U5" s="15">
        <v>0.15</v>
      </c>
      <c r="V5" s="15">
        <v>0.25</v>
      </c>
      <c r="W5" s="15">
        <v>0.4</v>
      </c>
    </row>
    <row r="6" spans="1:53" s="15" customFormat="1" x14ac:dyDescent="0.2">
      <c r="B6" s="14" t="s">
        <v>103</v>
      </c>
      <c r="G6" s="15">
        <v>0.43</v>
      </c>
      <c r="H6" s="15">
        <v>0.36</v>
      </c>
      <c r="I6" s="15">
        <v>0.46</v>
      </c>
      <c r="J6" s="15">
        <v>0.51</v>
      </c>
      <c r="K6" s="15">
        <v>0.22</v>
      </c>
      <c r="L6" s="15">
        <v>0.41</v>
      </c>
      <c r="M6" s="15">
        <v>0.47</v>
      </c>
      <c r="N6" s="15">
        <v>0.48</v>
      </c>
      <c r="O6" s="15">
        <v>0.49</v>
      </c>
      <c r="P6" s="15">
        <v>0.34</v>
      </c>
      <c r="Q6" s="15">
        <v>0.24</v>
      </c>
      <c r="R6" s="15">
        <v>0.13</v>
      </c>
      <c r="S6" s="15">
        <v>0.06</v>
      </c>
      <c r="T6" s="15">
        <v>0.11</v>
      </c>
      <c r="U6" s="15">
        <v>0.15</v>
      </c>
      <c r="V6" s="15">
        <v>0.1</v>
      </c>
      <c r="W6" s="15">
        <v>0.16</v>
      </c>
    </row>
    <row r="7" spans="1:53" s="15" customFormat="1" x14ac:dyDescent="0.2">
      <c r="B7" s="14" t="s">
        <v>104</v>
      </c>
      <c r="G7" s="15">
        <v>0</v>
      </c>
      <c r="H7" s="15">
        <v>0.01</v>
      </c>
      <c r="I7" s="15">
        <v>0</v>
      </c>
      <c r="J7" s="15">
        <v>0</v>
      </c>
      <c r="K7" s="15">
        <v>0.01</v>
      </c>
      <c r="L7" s="15">
        <v>0.02</v>
      </c>
      <c r="M7" s="15">
        <v>0.04</v>
      </c>
      <c r="N7" s="15">
        <v>0.02</v>
      </c>
      <c r="O7" s="15">
        <v>0.01</v>
      </c>
      <c r="P7" s="15">
        <v>0.02</v>
      </c>
      <c r="Q7" s="15">
        <v>0.04</v>
      </c>
      <c r="R7" s="15">
        <v>0.08</v>
      </c>
      <c r="S7" s="15">
        <v>0.2</v>
      </c>
      <c r="T7" s="15">
        <v>0.04</v>
      </c>
      <c r="U7" s="15">
        <v>0</v>
      </c>
      <c r="V7" s="15">
        <v>0</v>
      </c>
      <c r="W7" s="15">
        <v>0</v>
      </c>
    </row>
    <row r="8" spans="1:53" s="15" customFormat="1" x14ac:dyDescent="0.2">
      <c r="B8" s="14" t="s">
        <v>105</v>
      </c>
      <c r="G8" s="15">
        <v>0.03</v>
      </c>
      <c r="H8" s="15">
        <v>0.06</v>
      </c>
      <c r="I8" s="15">
        <v>0.1</v>
      </c>
      <c r="J8" s="15">
        <v>0</v>
      </c>
      <c r="K8" s="15">
        <v>0.06</v>
      </c>
      <c r="L8" s="15">
        <v>0.1</v>
      </c>
      <c r="M8" s="15">
        <v>0.05</v>
      </c>
      <c r="N8" s="15">
        <v>7.0000000000000007E-2</v>
      </c>
      <c r="O8" s="15">
        <v>0.15</v>
      </c>
      <c r="P8" s="15">
        <v>0.1</v>
      </c>
      <c r="Q8" s="15">
        <v>0.05</v>
      </c>
      <c r="R8" s="15">
        <v>0.11</v>
      </c>
      <c r="S8" s="15">
        <v>0.06</v>
      </c>
      <c r="T8" s="15">
        <v>0.03</v>
      </c>
      <c r="U8" s="15">
        <v>0.21</v>
      </c>
      <c r="V8" s="15">
        <v>0.28000000000000003</v>
      </c>
      <c r="W8" s="15">
        <v>0.16</v>
      </c>
    </row>
    <row r="9" spans="1:53" s="15" customFormat="1" x14ac:dyDescent="0.2">
      <c r="B9" s="14" t="s">
        <v>106</v>
      </c>
      <c r="G9" s="15">
        <v>0.01</v>
      </c>
      <c r="H9" s="15">
        <v>0.01</v>
      </c>
      <c r="I9" s="15">
        <v>0.01</v>
      </c>
      <c r="J9" s="15">
        <v>0</v>
      </c>
      <c r="K9" s="15">
        <v>7.0000000000000007E-2</v>
      </c>
      <c r="L9" s="15">
        <v>0.03</v>
      </c>
      <c r="M9" s="15">
        <v>0.04</v>
      </c>
      <c r="N9" s="15">
        <v>0.03</v>
      </c>
      <c r="O9" s="15">
        <v>0.01</v>
      </c>
      <c r="P9" s="15">
        <v>0.02</v>
      </c>
      <c r="Q9" s="15">
        <v>0</v>
      </c>
      <c r="R9" s="15">
        <v>0.03</v>
      </c>
      <c r="S9" s="15">
        <v>0</v>
      </c>
      <c r="T9" s="15">
        <v>0.03</v>
      </c>
      <c r="U9" s="15">
        <v>0.02</v>
      </c>
      <c r="V9" s="15">
        <v>0.1</v>
      </c>
      <c r="W9" s="15">
        <v>0.01</v>
      </c>
    </row>
    <row r="10" spans="1:53" s="15" customFormat="1" x14ac:dyDescent="0.2">
      <c r="B10" s="14" t="s">
        <v>107</v>
      </c>
      <c r="G10" s="15">
        <v>0</v>
      </c>
      <c r="H10" s="15">
        <v>0</v>
      </c>
      <c r="I10" s="15">
        <v>0</v>
      </c>
      <c r="J10" s="15">
        <v>0</v>
      </c>
      <c r="K10" s="15">
        <v>0.01</v>
      </c>
      <c r="L10" s="15">
        <v>0.01</v>
      </c>
      <c r="M10" s="15">
        <v>0.01</v>
      </c>
      <c r="N10" s="15">
        <v>0.03</v>
      </c>
      <c r="O10" s="15">
        <v>0</v>
      </c>
      <c r="P10" s="15">
        <v>0.01</v>
      </c>
      <c r="Q10" s="15">
        <v>0.01</v>
      </c>
      <c r="R10" s="15">
        <v>0.01</v>
      </c>
      <c r="S10" s="15">
        <v>0</v>
      </c>
      <c r="T10" s="15">
        <v>0.02</v>
      </c>
      <c r="U10" s="15">
        <v>0</v>
      </c>
      <c r="V10" s="15">
        <v>0</v>
      </c>
      <c r="W10" s="15">
        <v>0</v>
      </c>
    </row>
    <row r="12" spans="1:53" s="2" customFormat="1" ht="12" customHeight="1" x14ac:dyDescent="0.2">
      <c r="B12" s="14" t="s">
        <v>101</v>
      </c>
      <c r="G12" s="2">
        <f t="shared" ref="G12:V12" si="1">+G$20*G4</f>
        <v>654.58499999999992</v>
      </c>
      <c r="H12" s="2">
        <f t="shared" si="1"/>
        <v>683.43399999999997</v>
      </c>
      <c r="I12" s="2">
        <f t="shared" si="1"/>
        <v>524.13</v>
      </c>
      <c r="J12" s="2">
        <f t="shared" si="1"/>
        <v>1096.8320000000001</v>
      </c>
      <c r="K12" s="2">
        <f t="shared" si="1"/>
        <v>1201.6960000000001</v>
      </c>
      <c r="L12" s="2">
        <f t="shared" si="1"/>
        <v>543.05000000000007</v>
      </c>
      <c r="M12" s="2">
        <f t="shared" si="1"/>
        <v>866.745</v>
      </c>
      <c r="N12" s="2">
        <f t="shared" si="1"/>
        <v>578.71799999999996</v>
      </c>
      <c r="O12" s="2">
        <f t="shared" si="1"/>
        <v>539.69600000000003</v>
      </c>
      <c r="P12" s="2">
        <f t="shared" si="1"/>
        <v>1656.5519999999999</v>
      </c>
      <c r="Q12" s="2">
        <f t="shared" si="1"/>
        <v>3069.58</v>
      </c>
      <c r="R12" s="2">
        <f t="shared" si="1"/>
        <v>2822.4300000000003</v>
      </c>
      <c r="S12" s="2">
        <f t="shared" si="1"/>
        <v>2592.1</v>
      </c>
      <c r="T12" s="2">
        <f t="shared" si="1"/>
        <v>3058.9719999999998</v>
      </c>
      <c r="U12" s="2">
        <f t="shared" si="1"/>
        <v>3509.6309999999999</v>
      </c>
      <c r="V12" s="2">
        <f t="shared" si="1"/>
        <v>2500.9560000000001</v>
      </c>
      <c r="W12" s="2">
        <f t="shared" ref="W12" si="2">+W$20*W4</f>
        <v>2160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53" s="2" customFormat="1" x14ac:dyDescent="0.2">
      <c r="B13" s="14" t="s">
        <v>102</v>
      </c>
      <c r="G13" s="2">
        <f t="shared" ref="G13:T13" si="3">+G$20*G5</f>
        <v>1920.1159999999998</v>
      </c>
      <c r="H13" s="2">
        <f t="shared" si="3"/>
        <v>1567.8779999999999</v>
      </c>
      <c r="I13" s="2">
        <f t="shared" si="3"/>
        <v>1729.6290000000001</v>
      </c>
      <c r="J13" s="2">
        <f t="shared" si="3"/>
        <v>1346.1120000000001</v>
      </c>
      <c r="K13" s="2">
        <f t="shared" si="3"/>
        <v>1024.9759999999999</v>
      </c>
      <c r="L13" s="2">
        <f t="shared" si="3"/>
        <v>1792.0650000000001</v>
      </c>
      <c r="M13" s="2">
        <f t="shared" si="3"/>
        <v>1386.7919999999999</v>
      </c>
      <c r="N13" s="2">
        <f t="shared" si="3"/>
        <v>1800.4560000000001</v>
      </c>
      <c r="O13" s="2">
        <f t="shared" si="3"/>
        <v>1754.0119999999999</v>
      </c>
      <c r="P13" s="2">
        <f t="shared" si="3"/>
        <v>1863.6210000000001</v>
      </c>
      <c r="Q13" s="2">
        <f t="shared" si="3"/>
        <v>1334.6000000000001</v>
      </c>
      <c r="R13" s="2">
        <f t="shared" si="3"/>
        <v>1809.25</v>
      </c>
      <c r="S13" s="2">
        <f t="shared" si="3"/>
        <v>1005.1</v>
      </c>
      <c r="T13" s="2">
        <f t="shared" si="3"/>
        <v>1747.9839999999999</v>
      </c>
      <c r="U13" s="2">
        <f t="shared" ref="U13:U18" si="4">+U$20*U5</f>
        <v>1120.095</v>
      </c>
      <c r="V13" s="2">
        <f>+V$20*V5</f>
        <v>2315.6999999999998</v>
      </c>
      <c r="W13" s="2">
        <f>+W$20*W5</f>
        <v>3200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53" s="2" customFormat="1" x14ac:dyDescent="0.2">
      <c r="B14" s="14" t="s">
        <v>103</v>
      </c>
      <c r="G14" s="2">
        <f>+G$20*G6</f>
        <v>1876.4769999999999</v>
      </c>
      <c r="H14" s="2">
        <f t="shared" ref="H14" si="5">+H$20*H6</f>
        <v>1447.2719999999999</v>
      </c>
      <c r="I14" s="2">
        <f t="shared" ref="I14" si="6">+I$20*I6</f>
        <v>2410.998</v>
      </c>
      <c r="J14" s="2">
        <f t="shared" ref="J14" si="7">+J$20*J6</f>
        <v>2542.6560000000004</v>
      </c>
      <c r="K14" s="2">
        <f t="shared" ref="K14" si="8">+K$20*K6</f>
        <v>777.56799999999998</v>
      </c>
      <c r="L14" s="2">
        <f t="shared" ref="L14" si="9">+L$20*L6</f>
        <v>2226.5049999999997</v>
      </c>
      <c r="M14" s="2">
        <f t="shared" ref="M14" si="10">+M$20*M6</f>
        <v>2715.8009999999999</v>
      </c>
      <c r="N14" s="2">
        <f t="shared" ref="N14" si="11">+N$20*N6</f>
        <v>3086.4959999999996</v>
      </c>
      <c r="O14" s="2">
        <f t="shared" ref="O14" si="12">+O$20*O6</f>
        <v>3305.6379999999999</v>
      </c>
      <c r="P14" s="2">
        <f t="shared" ref="P14" si="13">+P$20*P6</f>
        <v>2346.7820000000002</v>
      </c>
      <c r="Q14" s="2">
        <f t="shared" ref="Q14" si="14">+Q$20*Q6</f>
        <v>1601.52</v>
      </c>
      <c r="R14" s="2">
        <f t="shared" ref="R14" si="15">+R$20*R6</f>
        <v>940.81000000000006</v>
      </c>
      <c r="S14" s="2">
        <f t="shared" ref="S14" si="16">+S$20*S6</f>
        <v>317.39999999999998</v>
      </c>
      <c r="T14" s="2">
        <f t="shared" ref="T14:V18" si="17">+T$20*T6</f>
        <v>686.70799999999997</v>
      </c>
      <c r="U14" s="2">
        <f t="shared" si="4"/>
        <v>1120.095</v>
      </c>
      <c r="V14" s="2">
        <f t="shared" si="17"/>
        <v>926.28</v>
      </c>
      <c r="W14" s="2">
        <f t="shared" ref="W14" si="18">+W$20*W6</f>
        <v>1280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53" s="2" customFormat="1" x14ac:dyDescent="0.2">
      <c r="B15" s="14" t="s">
        <v>104</v>
      </c>
      <c r="G15" s="2">
        <f t="shared" ref="G15" si="19">+G$20*G7</f>
        <v>0</v>
      </c>
      <c r="H15" s="2">
        <f t="shared" ref="H15" si="20">+H$20*H7</f>
        <v>40.201999999999998</v>
      </c>
      <c r="I15" s="2">
        <f t="shared" ref="I15" si="21">+I$20*I7</f>
        <v>0</v>
      </c>
      <c r="J15" s="2">
        <f t="shared" ref="J15" si="22">+J$20*J7</f>
        <v>0</v>
      </c>
      <c r="K15" s="2">
        <f t="shared" ref="K15" si="23">+K$20*K7</f>
        <v>35.344000000000001</v>
      </c>
      <c r="L15" s="2">
        <f t="shared" ref="L15" si="24">+L$20*L7</f>
        <v>108.61</v>
      </c>
      <c r="M15" s="2">
        <f t="shared" ref="M15" si="25">+M$20*M7</f>
        <v>231.13200000000001</v>
      </c>
      <c r="N15" s="2">
        <f t="shared" ref="N15" si="26">+N$20*N7</f>
        <v>128.60399999999998</v>
      </c>
      <c r="O15" s="2">
        <f t="shared" ref="O15" si="27">+O$20*O7</f>
        <v>67.462000000000003</v>
      </c>
      <c r="P15" s="2">
        <f t="shared" ref="P15" si="28">+P$20*P7</f>
        <v>138.04600000000002</v>
      </c>
      <c r="Q15" s="2">
        <f t="shared" ref="Q15" si="29">+Q$20*Q7</f>
        <v>266.92</v>
      </c>
      <c r="R15" s="2">
        <f t="shared" ref="R15" si="30">+R$20*R7</f>
        <v>578.96</v>
      </c>
      <c r="S15" s="2">
        <f t="shared" ref="S15" si="31">+S$20*S7</f>
        <v>1058</v>
      </c>
      <c r="T15" s="2">
        <f t="shared" si="17"/>
        <v>249.71199999999999</v>
      </c>
      <c r="U15" s="2">
        <f t="shared" si="4"/>
        <v>0</v>
      </c>
      <c r="V15" s="2">
        <f t="shared" si="17"/>
        <v>0</v>
      </c>
      <c r="W15" s="2">
        <f t="shared" ref="W15" si="32">+W$20*W7</f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53" s="2" customFormat="1" x14ac:dyDescent="0.2">
      <c r="B16" s="14" t="s">
        <v>105</v>
      </c>
      <c r="G16" s="2">
        <f t="shared" ref="G16" si="33">+G$20*G8</f>
        <v>130.91699999999997</v>
      </c>
      <c r="H16" s="2">
        <f t="shared" ref="H16" si="34">+H$20*H8</f>
        <v>241.21199999999999</v>
      </c>
      <c r="I16" s="2">
        <f t="shared" ref="I16" si="35">+I$20*I8</f>
        <v>524.13</v>
      </c>
      <c r="J16" s="2">
        <f t="shared" ref="J16" si="36">+J$20*J8</f>
        <v>0</v>
      </c>
      <c r="K16" s="2">
        <f t="shared" ref="K16" si="37">+K$20*K8</f>
        <v>212.06399999999999</v>
      </c>
      <c r="L16" s="2">
        <f t="shared" ref="L16" si="38">+L$20*L8</f>
        <v>543.05000000000007</v>
      </c>
      <c r="M16" s="2">
        <f t="shared" ref="M16" si="39">+M$20*M8</f>
        <v>288.91500000000002</v>
      </c>
      <c r="N16" s="2">
        <f t="shared" ref="N16" si="40">+N$20*N8</f>
        <v>450.11400000000003</v>
      </c>
      <c r="O16" s="2">
        <f t="shared" ref="O16" si="41">+O$20*O8</f>
        <v>1011.93</v>
      </c>
      <c r="P16" s="2">
        <f t="shared" ref="P16" si="42">+P$20*P8</f>
        <v>690.23</v>
      </c>
      <c r="Q16" s="2">
        <f t="shared" ref="Q16" si="43">+Q$20*Q8</f>
        <v>333.65000000000003</v>
      </c>
      <c r="R16" s="2">
        <f t="shared" ref="R16" si="44">+R$20*R8</f>
        <v>796.07</v>
      </c>
      <c r="S16" s="2">
        <f t="shared" ref="S16" si="45">+S$20*S8</f>
        <v>317.39999999999998</v>
      </c>
      <c r="T16" s="2">
        <f t="shared" si="17"/>
        <v>187.28399999999996</v>
      </c>
      <c r="U16" s="2">
        <f t="shared" si="4"/>
        <v>1568.133</v>
      </c>
      <c r="V16" s="2">
        <f t="shared" si="17"/>
        <v>2593.5839999999998</v>
      </c>
      <c r="W16" s="2">
        <f t="shared" ref="W16" si="46">+W$20*W8</f>
        <v>1280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53" s="2" customFormat="1" x14ac:dyDescent="0.2">
      <c r="B17" s="14" t="s">
        <v>106</v>
      </c>
      <c r="G17" s="2">
        <f t="shared" ref="G17" si="47">+G$20*G9</f>
        <v>43.638999999999996</v>
      </c>
      <c r="H17" s="2">
        <f t="shared" ref="H17" si="48">+H$20*H9</f>
        <v>40.201999999999998</v>
      </c>
      <c r="I17" s="2">
        <f t="shared" ref="I17" si="49">+I$20*I9</f>
        <v>52.413000000000004</v>
      </c>
      <c r="J17" s="2">
        <f t="shared" ref="J17" si="50">+J$20*J9</f>
        <v>0</v>
      </c>
      <c r="K17" s="2">
        <f t="shared" ref="K17" si="51">+K$20*K9</f>
        <v>247.40800000000004</v>
      </c>
      <c r="L17" s="2">
        <f t="shared" ref="L17" si="52">+L$20*L9</f>
        <v>162.91499999999999</v>
      </c>
      <c r="M17" s="2">
        <f t="shared" ref="M17" si="53">+M$20*M9</f>
        <v>231.13200000000001</v>
      </c>
      <c r="N17" s="2">
        <f t="shared" ref="N17" si="54">+N$20*N9</f>
        <v>192.90599999999998</v>
      </c>
      <c r="O17" s="2">
        <f t="shared" ref="O17" si="55">+O$20*O9</f>
        <v>67.462000000000003</v>
      </c>
      <c r="P17" s="2">
        <f t="shared" ref="P17" si="56">+P$20*P9</f>
        <v>138.04600000000002</v>
      </c>
      <c r="Q17" s="2">
        <f t="shared" ref="Q17" si="57">+Q$20*Q9</f>
        <v>0</v>
      </c>
      <c r="R17" s="2">
        <f t="shared" ref="R17" si="58">+R$20*R9</f>
        <v>217.10999999999999</v>
      </c>
      <c r="S17" s="2">
        <f t="shared" ref="S17" si="59">+S$20*S9</f>
        <v>0</v>
      </c>
      <c r="T17" s="2">
        <f t="shared" si="17"/>
        <v>187.28399999999996</v>
      </c>
      <c r="U17" s="2">
        <f t="shared" si="4"/>
        <v>149.346</v>
      </c>
      <c r="V17" s="2">
        <f t="shared" si="17"/>
        <v>926.28</v>
      </c>
      <c r="W17" s="2">
        <f t="shared" ref="W17" si="60">+W$20*W9</f>
        <v>80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spans="2:53" s="2" customFormat="1" x14ac:dyDescent="0.2">
      <c r="B18" s="14" t="s">
        <v>107</v>
      </c>
      <c r="G18" s="2">
        <f t="shared" ref="G18" si="61">+G$20*G10</f>
        <v>0</v>
      </c>
      <c r="H18" s="2">
        <f t="shared" ref="H18" si="62">+H$20*H10</f>
        <v>0</v>
      </c>
      <c r="I18" s="2">
        <f t="shared" ref="I18" si="63">+I$20*I10</f>
        <v>0</v>
      </c>
      <c r="J18" s="2">
        <f t="shared" ref="J18" si="64">+J$20*J10</f>
        <v>0</v>
      </c>
      <c r="K18" s="2">
        <f t="shared" ref="K18" si="65">+K$20*K10</f>
        <v>35.344000000000001</v>
      </c>
      <c r="L18" s="2">
        <f t="shared" ref="L18" si="66">+L$20*L10</f>
        <v>54.305</v>
      </c>
      <c r="M18" s="2">
        <f t="shared" ref="M18" si="67">+M$20*M10</f>
        <v>57.783000000000001</v>
      </c>
      <c r="N18" s="2">
        <f t="shared" ref="N18" si="68">+N$20*N10</f>
        <v>192.90599999999998</v>
      </c>
      <c r="O18" s="2">
        <f t="shared" ref="O18" si="69">+O$20*O10</f>
        <v>0</v>
      </c>
      <c r="P18" s="2">
        <f t="shared" ref="P18" si="70">+P$20*P10</f>
        <v>69.02300000000001</v>
      </c>
      <c r="Q18" s="2">
        <f t="shared" ref="Q18" si="71">+Q$20*Q10</f>
        <v>66.73</v>
      </c>
      <c r="R18" s="2">
        <f t="shared" ref="R18" si="72">+R$20*R10</f>
        <v>72.37</v>
      </c>
      <c r="S18" s="2">
        <f t="shared" ref="S18" si="73">+S$20*S10</f>
        <v>0</v>
      </c>
      <c r="T18" s="2">
        <f t="shared" si="17"/>
        <v>124.85599999999999</v>
      </c>
      <c r="U18" s="2">
        <f t="shared" si="4"/>
        <v>0</v>
      </c>
      <c r="V18" s="2">
        <f t="shared" si="17"/>
        <v>0</v>
      </c>
      <c r="W18" s="2">
        <f t="shared" ref="W18" si="74">+W$20*W10</f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20" spans="2:53" s="9" customFormat="1" x14ac:dyDescent="0.2">
      <c r="B20" s="8" t="s">
        <v>25</v>
      </c>
      <c r="C20" s="9">
        <v>2440.6</v>
      </c>
      <c r="D20" s="9">
        <v>3325.7</v>
      </c>
      <c r="E20" s="9">
        <v>3958</v>
      </c>
      <c r="F20" s="9">
        <v>4254.1000000000004</v>
      </c>
      <c r="G20" s="9">
        <v>4363.8999999999996</v>
      </c>
      <c r="H20" s="9">
        <v>4020.2</v>
      </c>
      <c r="I20" s="9">
        <v>5241.3</v>
      </c>
      <c r="J20" s="9">
        <v>4985.6000000000004</v>
      </c>
      <c r="K20" s="9">
        <v>3534.4</v>
      </c>
      <c r="L20" s="9">
        <v>5430.5</v>
      </c>
      <c r="M20" s="9">
        <v>5778.3</v>
      </c>
      <c r="N20" s="9">
        <v>6430.2</v>
      </c>
      <c r="O20" s="9">
        <v>6746.2</v>
      </c>
      <c r="P20" s="9">
        <v>6902.3</v>
      </c>
      <c r="Q20" s="9">
        <v>6673</v>
      </c>
      <c r="R20" s="9">
        <v>7237</v>
      </c>
      <c r="S20" s="9">
        <v>5290</v>
      </c>
      <c r="T20" s="9">
        <v>6242.7999999999993</v>
      </c>
      <c r="U20" s="9">
        <v>7467.3</v>
      </c>
      <c r="V20" s="9">
        <v>9262.7999999999993</v>
      </c>
      <c r="W20" s="16">
        <v>8000</v>
      </c>
      <c r="X20" s="20"/>
      <c r="Y20" s="20"/>
      <c r="Z20" s="20"/>
      <c r="AA20" s="19"/>
      <c r="AB20" s="9">
        <v>5856.277</v>
      </c>
      <c r="AC20" s="9">
        <v>6287.375</v>
      </c>
      <c r="AD20" s="9">
        <v>6875.0999999999995</v>
      </c>
      <c r="AE20" s="9">
        <v>8962.7000000000007</v>
      </c>
      <c r="AF20" s="9">
        <v>10944</v>
      </c>
      <c r="AG20" s="9">
        <v>11820</v>
      </c>
      <c r="AH20" s="9">
        <v>13978.5</v>
      </c>
      <c r="AI20" s="9">
        <v>18611</v>
      </c>
      <c r="AJ20" s="9">
        <v>21173.4</v>
      </c>
      <c r="AK20" s="9">
        <v>27558.5</v>
      </c>
      <c r="AL20" s="9">
        <v>28262.9</v>
      </c>
      <c r="AM20" s="9">
        <v>31089.190000000002</v>
      </c>
      <c r="AN20" s="9">
        <v>34198.109000000004</v>
      </c>
      <c r="AO20" s="9">
        <v>37617.919900000008</v>
      </c>
      <c r="AP20" s="9">
        <v>41379.711890000013</v>
      </c>
      <c r="AQ20" s="9">
        <v>45517.683079000017</v>
      </c>
      <c r="AR20" s="9">
        <v>50069.451386900022</v>
      </c>
      <c r="AS20" s="9">
        <v>55076.396525590026</v>
      </c>
      <c r="AT20" s="9">
        <v>60584.036178149036</v>
      </c>
      <c r="AU20" s="9">
        <v>66642.439795963946</v>
      </c>
      <c r="AV20" s="9">
        <v>73306.683775560348</v>
      </c>
      <c r="AW20" s="9">
        <v>80637.352153116386</v>
      </c>
      <c r="AX20" s="9">
        <v>88701.087368428038</v>
      </c>
      <c r="AY20" s="9">
        <v>97571.19610527085</v>
      </c>
      <c r="AZ20" s="9">
        <v>107328.31571579794</v>
      </c>
      <c r="BA20" s="9">
        <v>118061.14728737775</v>
      </c>
    </row>
  </sheetData>
  <hyperlinks>
    <hyperlink ref="A1" location="Main!A1" display="Main!A1" xr:uid="{C95C2376-5DCB-44DC-B27E-E3836E71F4A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8CB4-3B87-4BF6-84F3-6C7A02CE8C37}">
  <dimension ref="A1:B44"/>
  <sheetViews>
    <sheetView workbookViewId="0">
      <selection activeCell="L31" sqref="L31"/>
    </sheetView>
  </sheetViews>
  <sheetFormatPr defaultRowHeight="12.75" x14ac:dyDescent="0.2"/>
  <cols>
    <col min="1" max="1" width="3.42578125" customWidth="1"/>
  </cols>
  <sheetData>
    <row r="1" spans="1:1" x14ac:dyDescent="0.2">
      <c r="A1" s="27" t="s">
        <v>184</v>
      </c>
    </row>
    <row r="44" spans="2:2" x14ac:dyDescent="0.2">
      <c r="B44" t="s">
        <v>155</v>
      </c>
    </row>
  </sheetData>
  <hyperlinks>
    <hyperlink ref="A1" location="Main!A1" display="Main!A1" xr:uid="{9F2E9767-608C-413B-AE06-4E8AC9686EA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Geography</vt:lpstr>
      <vt:lpstr>Rayleigh criterion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2024-04-17T06:51:59Z</dcterms:created>
  <dcterms:modified xsi:type="dcterms:W3CDTF">2025-04-16T17:29:39Z</dcterms:modified>
</cp:coreProperties>
</file>