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Hardware\Semiconductors\"/>
    </mc:Choice>
  </mc:AlternateContent>
  <xr:revisionPtr revIDLastSave="0" documentId="13_ncr:1_{3E1A46C9-1C91-4DAA-AFEF-A484CF551D62}" xr6:coauthVersionLast="47" xr6:coauthVersionMax="47" xr10:uidLastSave="{00000000-0000-0000-0000-000000000000}"/>
  <bookViews>
    <workbookView xWindow="-16320" yWindow="-120" windowWidth="16440" windowHeight="28440" activeTab="1" xr2:uid="{A01E8EBA-EA44-40B3-BAB4-DE52C786E3FD}"/>
  </bookViews>
  <sheets>
    <sheet name="Main" sheetId="1" r:id="rId1"/>
    <sheet name="Model" sheetId="2" r:id="rId2"/>
    <sheet name="VMwar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7" i="1"/>
  <c r="L6" i="1"/>
  <c r="R65" i="2"/>
  <c r="R71" i="2"/>
  <c r="R66" i="2"/>
  <c r="R67" i="2"/>
  <c r="R68" i="2"/>
  <c r="R69" i="2"/>
  <c r="R70" i="2"/>
  <c r="AH65" i="2"/>
  <c r="S65" i="2"/>
  <c r="Q65" i="2"/>
  <c r="O65" i="2"/>
  <c r="S61" i="2"/>
  <c r="S63" i="2" s="1"/>
  <c r="S55" i="2"/>
  <c r="S56" i="2" s="1"/>
  <c r="S49" i="2"/>
  <c r="S71" i="2"/>
  <c r="S39" i="2"/>
  <c r="S40" i="2" s="1"/>
  <c r="S42" i="2" s="1"/>
  <c r="S38" i="2"/>
  <c r="S28" i="2" s="1"/>
  <c r="S34" i="2"/>
  <c r="S33" i="2"/>
  <c r="S35" i="2" l="1"/>
  <c r="S75" i="2"/>
  <c r="S74" i="2"/>
  <c r="S72" i="2"/>
  <c r="S10" i="2"/>
  <c r="S5" i="2"/>
  <c r="R39" i="2"/>
  <c r="R38" i="2"/>
  <c r="R28" i="2" s="1"/>
  <c r="R34" i="2"/>
  <c r="R33" i="2"/>
  <c r="R62" i="2"/>
  <c r="R60" i="2"/>
  <c r="R59" i="2"/>
  <c r="R58" i="2"/>
  <c r="R54" i="2"/>
  <c r="R53" i="2"/>
  <c r="R52" i="2"/>
  <c r="R51" i="2"/>
  <c r="R50" i="2"/>
  <c r="R48" i="2"/>
  <c r="AH71" i="2"/>
  <c r="AH61" i="2"/>
  <c r="AH63" i="2" s="1"/>
  <c r="AH55" i="2"/>
  <c r="AH49" i="2"/>
  <c r="AH56" i="2" s="1"/>
  <c r="R17" i="2"/>
  <c r="J17" i="2"/>
  <c r="N17" i="2"/>
  <c r="R14" i="2"/>
  <c r="R12" i="2"/>
  <c r="R9" i="2"/>
  <c r="R8" i="2"/>
  <c r="R6" i="2"/>
  <c r="Q5" i="2"/>
  <c r="Q7" i="2" s="1"/>
  <c r="R4" i="2"/>
  <c r="R3" i="2"/>
  <c r="AH5" i="2"/>
  <c r="AH24" i="2" s="1"/>
  <c r="L5" i="1"/>
  <c r="AH10" i="2"/>
  <c r="Q71" i="2"/>
  <c r="Q61" i="2"/>
  <c r="Q63" i="2" s="1"/>
  <c r="Q55" i="2"/>
  <c r="Q49" i="2"/>
  <c r="Q39" i="2"/>
  <c r="Q38" i="2"/>
  <c r="Q28" i="2" s="1"/>
  <c r="Q34" i="2"/>
  <c r="Q33" i="2"/>
  <c r="Q10" i="2"/>
  <c r="N15" i="3"/>
  <c r="N10" i="3"/>
  <c r="N6" i="3"/>
  <c r="N30" i="3" s="1"/>
  <c r="O15" i="3"/>
  <c r="O10" i="3"/>
  <c r="O6" i="3"/>
  <c r="P15" i="3"/>
  <c r="P10" i="3"/>
  <c r="P6" i="3"/>
  <c r="Q15" i="3"/>
  <c r="Q10" i="3"/>
  <c r="Q6" i="3"/>
  <c r="R15" i="3"/>
  <c r="R10" i="3"/>
  <c r="R6" i="3"/>
  <c r="S15" i="3"/>
  <c r="S10" i="3"/>
  <c r="S6" i="3"/>
  <c r="H30" i="3"/>
  <c r="G30" i="3"/>
  <c r="C15" i="3"/>
  <c r="C10" i="3"/>
  <c r="C6" i="3"/>
  <c r="D15" i="3"/>
  <c r="D10" i="3"/>
  <c r="D6" i="3"/>
  <c r="F23" i="3"/>
  <c r="F20" i="3"/>
  <c r="F18" i="3"/>
  <c r="F17" i="3"/>
  <c r="F14" i="3"/>
  <c r="F13" i="3"/>
  <c r="F12" i="3"/>
  <c r="F9" i="3"/>
  <c r="F8" i="3"/>
  <c r="F7" i="3"/>
  <c r="F5" i="3"/>
  <c r="F4" i="3"/>
  <c r="F3" i="3"/>
  <c r="J28" i="3"/>
  <c r="J27" i="3"/>
  <c r="J26" i="3"/>
  <c r="J25" i="3"/>
  <c r="J22" i="3"/>
  <c r="J23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T15" i="3"/>
  <c r="T10" i="3"/>
  <c r="T6" i="3"/>
  <c r="V30" i="3"/>
  <c r="U15" i="3"/>
  <c r="U10" i="3"/>
  <c r="U6" i="3"/>
  <c r="V15" i="3"/>
  <c r="V10" i="3"/>
  <c r="V6" i="3"/>
  <c r="E15" i="3"/>
  <c r="E10" i="3"/>
  <c r="E6" i="3"/>
  <c r="I15" i="3"/>
  <c r="I10" i="3"/>
  <c r="I6" i="3"/>
  <c r="G15" i="3"/>
  <c r="G10" i="3"/>
  <c r="G6" i="3"/>
  <c r="K15" i="3"/>
  <c r="K10" i="3"/>
  <c r="K6" i="3"/>
  <c r="H15" i="3"/>
  <c r="H10" i="3"/>
  <c r="H6" i="3"/>
  <c r="L15" i="3"/>
  <c r="L10" i="3"/>
  <c r="L6" i="3"/>
  <c r="O2" i="3"/>
  <c r="P2" i="3" s="1"/>
  <c r="Q2" i="3" s="1"/>
  <c r="R2" i="3" s="1"/>
  <c r="S2" i="3" s="1"/>
  <c r="T2" i="3" s="1"/>
  <c r="U2" i="3" s="1"/>
  <c r="V2" i="3" s="1"/>
  <c r="W2" i="3" s="1"/>
  <c r="AD10" i="2"/>
  <c r="AD5" i="2"/>
  <c r="AD7" i="2" s="1"/>
  <c r="K71" i="2"/>
  <c r="K63" i="2"/>
  <c r="K55" i="2"/>
  <c r="K49" i="2"/>
  <c r="K39" i="2"/>
  <c r="K38" i="2"/>
  <c r="K34" i="2"/>
  <c r="K33" i="2"/>
  <c r="L71" i="2"/>
  <c r="L63" i="2"/>
  <c r="L55" i="2"/>
  <c r="L49" i="2"/>
  <c r="L39" i="2"/>
  <c r="L38" i="2"/>
  <c r="L28" i="2" s="1"/>
  <c r="L34" i="2"/>
  <c r="L33" i="2"/>
  <c r="M71" i="2"/>
  <c r="M61" i="2"/>
  <c r="M63" i="2" s="1"/>
  <c r="M55" i="2"/>
  <c r="M49" i="2"/>
  <c r="P71" i="2"/>
  <c r="P61" i="2"/>
  <c r="P63" i="2" s="1"/>
  <c r="P55" i="2"/>
  <c r="P49" i="2"/>
  <c r="M39" i="2"/>
  <c r="M38" i="2"/>
  <c r="M34" i="2"/>
  <c r="M33" i="2"/>
  <c r="N71" i="2"/>
  <c r="N61" i="2"/>
  <c r="N63" i="2" s="1"/>
  <c r="N55" i="2"/>
  <c r="N49" i="2"/>
  <c r="N39" i="2"/>
  <c r="N38" i="2"/>
  <c r="N28" i="2" s="1"/>
  <c r="N34" i="2"/>
  <c r="N33" i="2"/>
  <c r="O71" i="2"/>
  <c r="O61" i="2"/>
  <c r="O63" i="2" s="1"/>
  <c r="O55" i="2"/>
  <c r="O49" i="2"/>
  <c r="O39" i="2"/>
  <c r="O38" i="2"/>
  <c r="O34" i="2"/>
  <c r="O33" i="2"/>
  <c r="P39" i="2"/>
  <c r="P38" i="2"/>
  <c r="P34" i="2"/>
  <c r="P33" i="2"/>
  <c r="F14" i="2"/>
  <c r="F12" i="2"/>
  <c r="G10" i="2"/>
  <c r="F9" i="2"/>
  <c r="F8" i="2"/>
  <c r="F6" i="2"/>
  <c r="F4" i="2"/>
  <c r="F3" i="2"/>
  <c r="J14" i="2"/>
  <c r="J12" i="2"/>
  <c r="J9" i="2"/>
  <c r="J8" i="2"/>
  <c r="J6" i="2"/>
  <c r="J4" i="2"/>
  <c r="J3" i="2"/>
  <c r="C10" i="2"/>
  <c r="C5" i="2"/>
  <c r="C7" i="2" s="1"/>
  <c r="G5" i="2"/>
  <c r="G24" i="2" s="1"/>
  <c r="E10" i="2"/>
  <c r="E5" i="2"/>
  <c r="E7" i="2" s="1"/>
  <c r="D10" i="2"/>
  <c r="D5" i="2"/>
  <c r="D7" i="2" s="1"/>
  <c r="H10" i="2"/>
  <c r="H5" i="2"/>
  <c r="H24" i="2" s="1"/>
  <c r="N14" i="2"/>
  <c r="N12" i="2"/>
  <c r="N9" i="2"/>
  <c r="N8" i="2"/>
  <c r="N6" i="2"/>
  <c r="O5" i="2"/>
  <c r="O24" i="2" s="1"/>
  <c r="N4" i="2"/>
  <c r="N3" i="2"/>
  <c r="I10" i="2"/>
  <c r="I5" i="2"/>
  <c r="I24" i="2" s="1"/>
  <c r="M10" i="2"/>
  <c r="M5" i="2"/>
  <c r="AE10" i="2"/>
  <c r="AE5" i="2"/>
  <c r="AE24" i="2" s="1"/>
  <c r="AF10" i="2"/>
  <c r="AF5" i="2"/>
  <c r="AF7" i="2" s="1"/>
  <c r="AG10" i="2"/>
  <c r="AG5" i="2"/>
  <c r="AG24" i="2" s="1"/>
  <c r="K10" i="2"/>
  <c r="K5" i="2"/>
  <c r="K7" i="2" s="1"/>
  <c r="O10" i="2"/>
  <c r="L10" i="2"/>
  <c r="L5" i="2"/>
  <c r="L7" i="2" s="1"/>
  <c r="P10" i="2"/>
  <c r="P5" i="2"/>
  <c r="P24" i="2" s="1"/>
  <c r="Y2" i="2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R35" i="2" l="1"/>
  <c r="S7" i="2"/>
  <c r="S19" i="2" s="1"/>
  <c r="S24" i="2"/>
  <c r="S26" i="2"/>
  <c r="Q24" i="2"/>
  <c r="R5" i="2"/>
  <c r="R24" i="2" s="1"/>
  <c r="R49" i="2"/>
  <c r="R55" i="2"/>
  <c r="AH74" i="2"/>
  <c r="AH72" i="2"/>
  <c r="AH75" i="2"/>
  <c r="Q26" i="2"/>
  <c r="R40" i="2"/>
  <c r="R42" i="2" s="1"/>
  <c r="R61" i="2"/>
  <c r="R63" i="2" s="1"/>
  <c r="AD24" i="2"/>
  <c r="AF24" i="2"/>
  <c r="E24" i="2"/>
  <c r="Q35" i="2"/>
  <c r="AE26" i="2"/>
  <c r="R10" i="2"/>
  <c r="AH26" i="2"/>
  <c r="AH7" i="2"/>
  <c r="AH11" i="2" s="1"/>
  <c r="AH13" i="2" s="1"/>
  <c r="Q56" i="2"/>
  <c r="Q75" i="2" s="1"/>
  <c r="K24" i="2"/>
  <c r="L8" i="1"/>
  <c r="L10" i="1" s="1"/>
  <c r="L24" i="2"/>
  <c r="M24" i="2"/>
  <c r="C24" i="2"/>
  <c r="D24" i="2"/>
  <c r="O56" i="2"/>
  <c r="O74" i="2" s="1"/>
  <c r="L35" i="2"/>
  <c r="K56" i="2"/>
  <c r="K75" i="2" s="1"/>
  <c r="P40" i="2"/>
  <c r="P42" i="2" s="1"/>
  <c r="N56" i="2"/>
  <c r="N74" i="2" s="1"/>
  <c r="M56" i="2"/>
  <c r="M75" i="2" s="1"/>
  <c r="K35" i="2"/>
  <c r="O40" i="2"/>
  <c r="O42" i="2" s="1"/>
  <c r="K40" i="2"/>
  <c r="K42" i="2" s="1"/>
  <c r="P26" i="2"/>
  <c r="P56" i="2"/>
  <c r="P72" i="2" s="1"/>
  <c r="M40" i="2"/>
  <c r="M42" i="2" s="1"/>
  <c r="L40" i="2"/>
  <c r="L42" i="2" s="1"/>
  <c r="L56" i="2"/>
  <c r="K28" i="2"/>
  <c r="Q40" i="2"/>
  <c r="Q42" i="2" s="1"/>
  <c r="Q11" i="2"/>
  <c r="Q13" i="2" s="1"/>
  <c r="Q19" i="2"/>
  <c r="N11" i="3"/>
  <c r="N16" i="3" s="1"/>
  <c r="O30" i="3"/>
  <c r="O11" i="3"/>
  <c r="O25" i="3" s="1"/>
  <c r="P30" i="3"/>
  <c r="P11" i="3"/>
  <c r="P25" i="3" s="1"/>
  <c r="Q30" i="3"/>
  <c r="R30" i="3"/>
  <c r="Q11" i="3"/>
  <c r="Q25" i="3" s="1"/>
  <c r="R11" i="3"/>
  <c r="R25" i="3" s="1"/>
  <c r="S11" i="3"/>
  <c r="S25" i="3" s="1"/>
  <c r="S30" i="3"/>
  <c r="T30" i="3"/>
  <c r="C11" i="3"/>
  <c r="C25" i="3" s="1"/>
  <c r="F15" i="3"/>
  <c r="D11" i="3"/>
  <c r="D25" i="3" s="1"/>
  <c r="F10" i="3"/>
  <c r="F6" i="3"/>
  <c r="T11" i="3"/>
  <c r="T25" i="3" s="1"/>
  <c r="U30" i="3"/>
  <c r="U11" i="3"/>
  <c r="U25" i="3" s="1"/>
  <c r="V11" i="3"/>
  <c r="V25" i="3" s="1"/>
  <c r="L11" i="3"/>
  <c r="L30" i="3"/>
  <c r="E11" i="3"/>
  <c r="E25" i="3" s="1"/>
  <c r="I30" i="3"/>
  <c r="I11" i="3"/>
  <c r="I25" i="3" s="1"/>
  <c r="G11" i="3"/>
  <c r="G25" i="3" s="1"/>
  <c r="K30" i="3"/>
  <c r="K11" i="3"/>
  <c r="H11" i="3"/>
  <c r="H25" i="3" s="1"/>
  <c r="AD26" i="2"/>
  <c r="AD19" i="2"/>
  <c r="AD11" i="2"/>
  <c r="AD13" i="2" s="1"/>
  <c r="M28" i="2"/>
  <c r="M35" i="2"/>
  <c r="O35" i="2"/>
  <c r="O26" i="2"/>
  <c r="N35" i="2"/>
  <c r="P28" i="2"/>
  <c r="P35" i="2"/>
  <c r="O28" i="2"/>
  <c r="H26" i="2"/>
  <c r="J10" i="2"/>
  <c r="N40" i="2"/>
  <c r="N42" i="2" s="1"/>
  <c r="N10" i="2"/>
  <c r="F10" i="2"/>
  <c r="AG26" i="2"/>
  <c r="F5" i="2"/>
  <c r="F7" i="2" s="1"/>
  <c r="F19" i="2" s="1"/>
  <c r="J5" i="2"/>
  <c r="J7" i="2" s="1"/>
  <c r="N5" i="2"/>
  <c r="N24" i="2" s="1"/>
  <c r="K26" i="2"/>
  <c r="L26" i="2"/>
  <c r="C11" i="2"/>
  <c r="C13" i="2" s="1"/>
  <c r="C19" i="2"/>
  <c r="G26" i="2"/>
  <c r="H7" i="2"/>
  <c r="H11" i="2" s="1"/>
  <c r="H13" i="2" s="1"/>
  <c r="G7" i="2"/>
  <c r="G11" i="2" s="1"/>
  <c r="G13" i="2" s="1"/>
  <c r="I26" i="2"/>
  <c r="E19" i="2"/>
  <c r="E11" i="2"/>
  <c r="E13" i="2" s="1"/>
  <c r="D19" i="2"/>
  <c r="D11" i="2"/>
  <c r="D13" i="2" s="1"/>
  <c r="I7" i="2"/>
  <c r="M26" i="2"/>
  <c r="M7" i="2"/>
  <c r="AE7" i="2"/>
  <c r="AF26" i="2"/>
  <c r="AF11" i="2"/>
  <c r="AF13" i="2" s="1"/>
  <c r="AF19" i="2"/>
  <c r="AG7" i="2"/>
  <c r="O7" i="2"/>
  <c r="O19" i="2" s="1"/>
  <c r="P7" i="2"/>
  <c r="L11" i="2"/>
  <c r="L13" i="2" s="1"/>
  <c r="L19" i="2"/>
  <c r="S11" i="2" l="1"/>
  <c r="R56" i="2"/>
  <c r="R75" i="2" s="1"/>
  <c r="R7" i="2"/>
  <c r="R19" i="2" s="1"/>
  <c r="R74" i="2"/>
  <c r="R72" i="2"/>
  <c r="J24" i="2"/>
  <c r="Q72" i="2"/>
  <c r="M72" i="2"/>
  <c r="AH19" i="2"/>
  <c r="AH20" i="2"/>
  <c r="O75" i="2"/>
  <c r="R76" i="2" s="1"/>
  <c r="N75" i="2"/>
  <c r="N72" i="2"/>
  <c r="K74" i="2"/>
  <c r="Q74" i="2"/>
  <c r="F24" i="2"/>
  <c r="K72" i="2"/>
  <c r="M74" i="2"/>
  <c r="N7" i="2"/>
  <c r="N19" i="2" s="1"/>
  <c r="R26" i="2"/>
  <c r="P75" i="2"/>
  <c r="S76" i="2" s="1"/>
  <c r="P74" i="2"/>
  <c r="L75" i="2"/>
  <c r="L74" i="2"/>
  <c r="L72" i="2"/>
  <c r="Q20" i="2"/>
  <c r="Q22" i="2"/>
  <c r="Q15" i="2"/>
  <c r="Q47" i="2" s="1"/>
  <c r="N25" i="3"/>
  <c r="N26" i="3"/>
  <c r="N19" i="3"/>
  <c r="O16" i="3"/>
  <c r="O26" i="3" s="1"/>
  <c r="P16" i="3"/>
  <c r="P19" i="3" s="1"/>
  <c r="Q16" i="3"/>
  <c r="Q26" i="3" s="1"/>
  <c r="R16" i="3"/>
  <c r="R26" i="3" s="1"/>
  <c r="S16" i="3"/>
  <c r="S19" i="3" s="1"/>
  <c r="C16" i="3"/>
  <c r="C26" i="3" s="1"/>
  <c r="F11" i="3"/>
  <c r="F25" i="3" s="1"/>
  <c r="D16" i="3"/>
  <c r="D26" i="3" s="1"/>
  <c r="J30" i="3"/>
  <c r="F16" i="3"/>
  <c r="T16" i="3"/>
  <c r="T26" i="3" s="1"/>
  <c r="U16" i="3"/>
  <c r="U26" i="3" s="1"/>
  <c r="V16" i="3"/>
  <c r="V26" i="3" s="1"/>
  <c r="L16" i="3"/>
  <c r="L25" i="3"/>
  <c r="E16" i="3"/>
  <c r="E26" i="3" s="1"/>
  <c r="I16" i="3"/>
  <c r="I26" i="3" s="1"/>
  <c r="G16" i="3"/>
  <c r="G26" i="3" s="1"/>
  <c r="K16" i="3"/>
  <c r="K25" i="3"/>
  <c r="H16" i="3"/>
  <c r="H26" i="3" s="1"/>
  <c r="O72" i="2"/>
  <c r="AD20" i="2"/>
  <c r="N26" i="2"/>
  <c r="F11" i="2"/>
  <c r="J26" i="2"/>
  <c r="N11" i="2"/>
  <c r="N13" i="2" s="1"/>
  <c r="J19" i="2"/>
  <c r="J11" i="2"/>
  <c r="J13" i="2" s="1"/>
  <c r="C20" i="2"/>
  <c r="H19" i="2"/>
  <c r="G19" i="2"/>
  <c r="E20" i="2"/>
  <c r="D20" i="2"/>
  <c r="H20" i="2"/>
  <c r="I11" i="2"/>
  <c r="I13" i="2" s="1"/>
  <c r="I19" i="2"/>
  <c r="M19" i="2"/>
  <c r="M11" i="2"/>
  <c r="M13" i="2" s="1"/>
  <c r="AE19" i="2"/>
  <c r="AE11" i="2"/>
  <c r="AE13" i="2" s="1"/>
  <c r="AF20" i="2"/>
  <c r="AG11" i="2"/>
  <c r="AG13" i="2" s="1"/>
  <c r="AG19" i="2"/>
  <c r="K19" i="2"/>
  <c r="K11" i="2"/>
  <c r="K13" i="2" s="1"/>
  <c r="O11" i="2"/>
  <c r="P11" i="2"/>
  <c r="P13" i="2" s="1"/>
  <c r="P19" i="2"/>
  <c r="L20" i="2"/>
  <c r="S13" i="2" l="1"/>
  <c r="S20" i="2"/>
  <c r="R11" i="2"/>
  <c r="R13" i="2" s="1"/>
  <c r="R15" i="2" s="1"/>
  <c r="R47" i="2" s="1"/>
  <c r="F20" i="2"/>
  <c r="F13" i="2"/>
  <c r="F15" i="2" s="1"/>
  <c r="O20" i="2"/>
  <c r="O13" i="2"/>
  <c r="O22" i="2" s="1"/>
  <c r="N76" i="2"/>
  <c r="AH22" i="2"/>
  <c r="P76" i="2"/>
  <c r="Q76" i="2"/>
  <c r="O76" i="2"/>
  <c r="Q21" i="2"/>
  <c r="Q16" i="2"/>
  <c r="N28" i="3"/>
  <c r="N21" i="3"/>
  <c r="O19" i="3"/>
  <c r="O28" i="3" s="1"/>
  <c r="P26" i="3"/>
  <c r="P28" i="3"/>
  <c r="P21" i="3"/>
  <c r="Q19" i="3"/>
  <c r="Q28" i="3" s="1"/>
  <c r="R19" i="3"/>
  <c r="R28" i="3" s="1"/>
  <c r="S26" i="3"/>
  <c r="S28" i="3"/>
  <c r="S21" i="3"/>
  <c r="C19" i="3"/>
  <c r="C28" i="3" s="1"/>
  <c r="D19" i="3"/>
  <c r="D28" i="3" s="1"/>
  <c r="F26" i="3"/>
  <c r="F19" i="3"/>
  <c r="T19" i="3"/>
  <c r="T21" i="3" s="1"/>
  <c r="U19" i="3"/>
  <c r="U28" i="3" s="1"/>
  <c r="V19" i="3"/>
  <c r="V28" i="3" s="1"/>
  <c r="L19" i="3"/>
  <c r="L26" i="3"/>
  <c r="E19" i="3"/>
  <c r="E28" i="3" s="1"/>
  <c r="I19" i="3"/>
  <c r="I28" i="3" s="1"/>
  <c r="G19" i="3"/>
  <c r="G28" i="3" s="1"/>
  <c r="K19" i="3"/>
  <c r="K26" i="3"/>
  <c r="H19" i="3"/>
  <c r="H28" i="3" s="1"/>
  <c r="AD15" i="2"/>
  <c r="AD22" i="2"/>
  <c r="N20" i="2"/>
  <c r="J20" i="2"/>
  <c r="C22" i="2"/>
  <c r="C15" i="2"/>
  <c r="G20" i="2"/>
  <c r="E22" i="2"/>
  <c r="E15" i="2"/>
  <c r="D22" i="2"/>
  <c r="D15" i="2"/>
  <c r="H22" i="2"/>
  <c r="H15" i="2"/>
  <c r="I20" i="2"/>
  <c r="M20" i="2"/>
  <c r="AE20" i="2"/>
  <c r="AF22" i="2"/>
  <c r="AF15" i="2"/>
  <c r="AG20" i="2"/>
  <c r="K20" i="2"/>
  <c r="P20" i="2"/>
  <c r="L22" i="2"/>
  <c r="L15" i="2"/>
  <c r="L47" i="2" s="1"/>
  <c r="S15" i="2" l="1"/>
  <c r="S22" i="2"/>
  <c r="R21" i="2"/>
  <c r="R22" i="2"/>
  <c r="R20" i="2"/>
  <c r="R16" i="2"/>
  <c r="N27" i="3"/>
  <c r="N22" i="3"/>
  <c r="O21" i="3"/>
  <c r="O27" i="3" s="1"/>
  <c r="P27" i="3"/>
  <c r="P22" i="3"/>
  <c r="Q21" i="3"/>
  <c r="Q27" i="3" s="1"/>
  <c r="R21" i="3"/>
  <c r="R27" i="3" s="1"/>
  <c r="S27" i="3"/>
  <c r="S22" i="3"/>
  <c r="C21" i="3"/>
  <c r="C27" i="3" s="1"/>
  <c r="D21" i="3"/>
  <c r="D22" i="3" s="1"/>
  <c r="D27" i="3"/>
  <c r="F21" i="3"/>
  <c r="F28" i="3"/>
  <c r="T28" i="3"/>
  <c r="T27" i="3"/>
  <c r="T22" i="3"/>
  <c r="U21" i="3"/>
  <c r="U27" i="3" s="1"/>
  <c r="V21" i="3"/>
  <c r="V27" i="3" s="1"/>
  <c r="L21" i="3"/>
  <c r="L28" i="3"/>
  <c r="E21" i="3"/>
  <c r="E27" i="3" s="1"/>
  <c r="I21" i="3"/>
  <c r="I27" i="3" s="1"/>
  <c r="G21" i="3"/>
  <c r="G27" i="3" s="1"/>
  <c r="K21" i="3"/>
  <c r="K28" i="3"/>
  <c r="H21" i="3"/>
  <c r="H27" i="3" s="1"/>
  <c r="AD16" i="2"/>
  <c r="AD21" i="2"/>
  <c r="F22" i="2"/>
  <c r="N22" i="2"/>
  <c r="N15" i="2"/>
  <c r="F16" i="2"/>
  <c r="F21" i="2"/>
  <c r="J15" i="2"/>
  <c r="J22" i="2"/>
  <c r="C21" i="2"/>
  <c r="C16" i="2"/>
  <c r="G22" i="2"/>
  <c r="G15" i="2"/>
  <c r="E21" i="2"/>
  <c r="E16" i="2"/>
  <c r="D16" i="2"/>
  <c r="D21" i="2"/>
  <c r="H21" i="2"/>
  <c r="H16" i="2"/>
  <c r="I22" i="2"/>
  <c r="I15" i="2"/>
  <c r="M22" i="2"/>
  <c r="M15" i="2"/>
  <c r="M47" i="2" s="1"/>
  <c r="AE22" i="2"/>
  <c r="AE15" i="2"/>
  <c r="AF21" i="2"/>
  <c r="AF16" i="2"/>
  <c r="AG22" i="2"/>
  <c r="AG15" i="2"/>
  <c r="K22" i="2"/>
  <c r="K15" i="2"/>
  <c r="K47" i="2" s="1"/>
  <c r="O15" i="2"/>
  <c r="P22" i="2"/>
  <c r="P15" i="2"/>
  <c r="L21" i="2"/>
  <c r="L16" i="2"/>
  <c r="S16" i="2" l="1"/>
  <c r="S21" i="2"/>
  <c r="S47" i="2"/>
  <c r="P47" i="2"/>
  <c r="S44" i="2"/>
  <c r="S45" i="2" s="1"/>
  <c r="AH15" i="2"/>
  <c r="AH47" i="2" s="1"/>
  <c r="R44" i="2"/>
  <c r="R45" i="2" s="1"/>
  <c r="L44" i="2"/>
  <c r="L45" i="2" s="1"/>
  <c r="N47" i="2"/>
  <c r="Q44" i="2"/>
  <c r="Q45" i="2" s="1"/>
  <c r="O22" i="3"/>
  <c r="Q22" i="3"/>
  <c r="R22" i="3"/>
  <c r="C22" i="3"/>
  <c r="F27" i="3"/>
  <c r="F22" i="3"/>
  <c r="U22" i="3"/>
  <c r="V22" i="3"/>
  <c r="L27" i="3"/>
  <c r="L22" i="3"/>
  <c r="E22" i="3"/>
  <c r="I22" i="3"/>
  <c r="G22" i="3"/>
  <c r="K27" i="3"/>
  <c r="K22" i="3"/>
  <c r="H22" i="3"/>
  <c r="P44" i="2"/>
  <c r="P45" i="2" s="1"/>
  <c r="N44" i="2"/>
  <c r="N45" i="2" s="1"/>
  <c r="M44" i="2"/>
  <c r="M45" i="2" s="1"/>
  <c r="K44" i="2"/>
  <c r="K45" i="2" s="1"/>
  <c r="O21" i="2"/>
  <c r="O47" i="2"/>
  <c r="O44" i="2"/>
  <c r="O45" i="2" s="1"/>
  <c r="N21" i="2"/>
  <c r="N16" i="2"/>
  <c r="J21" i="2"/>
  <c r="J16" i="2"/>
  <c r="G21" i="2"/>
  <c r="G16" i="2"/>
  <c r="I21" i="2"/>
  <c r="I16" i="2"/>
  <c r="M21" i="2"/>
  <c r="M16" i="2"/>
  <c r="AE21" i="2"/>
  <c r="AE16" i="2"/>
  <c r="AG21" i="2"/>
  <c r="AG16" i="2"/>
  <c r="K21" i="2"/>
  <c r="K16" i="2"/>
  <c r="O16" i="2"/>
  <c r="P21" i="2"/>
  <c r="P16" i="2"/>
  <c r="AH16" i="2" l="1"/>
  <c r="AH21" i="2"/>
</calcChain>
</file>

<file path=xl/sharedStrings.xml><?xml version="1.0" encoding="utf-8"?>
<sst xmlns="http://schemas.openxmlformats.org/spreadsheetml/2006/main" count="140" uniqueCount="102">
  <si>
    <t>Price</t>
  </si>
  <si>
    <t>Shares</t>
  </si>
  <si>
    <t>MC</t>
  </si>
  <si>
    <t>Cash</t>
  </si>
  <si>
    <t>Debt</t>
  </si>
  <si>
    <t>EV</t>
  </si>
  <si>
    <t>Q124</t>
  </si>
  <si>
    <t>Revenue</t>
  </si>
  <si>
    <t>Products</t>
  </si>
  <si>
    <t>Subscriptions &amp; services</t>
  </si>
  <si>
    <t>COGS</t>
  </si>
  <si>
    <t>Gross profit</t>
  </si>
  <si>
    <t>R&amp;D</t>
  </si>
  <si>
    <t>SG&amp;A</t>
  </si>
  <si>
    <t>OpEx</t>
  </si>
  <si>
    <t>OpIn</t>
  </si>
  <si>
    <t>Interest expense</t>
  </si>
  <si>
    <t>Other income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</si>
  <si>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</si>
  <si>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</si>
  <si>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</si>
  <si>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</si>
  <si>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</si>
  <si>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</si>
  <si>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</si>
  <si>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</si>
  <si>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</si>
  <si>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</si>
  <si>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</si>
  <si>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</si>
  <si>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</si>
  <si>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</si>
  <si>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</si>
  <si>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</si>
  <si>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</si>
  <si>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</si>
  <si>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</si>
  <si>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</si>
  <si>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</si>
  <si>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Q224</t>
  </si>
  <si>
    <t>Q324</t>
  </si>
  <si>
    <t>Q424</t>
  </si>
  <si>
    <t>Issuance of $30.4 billion in term loans, credit agreement on August 15, 2023</t>
  </si>
  <si>
    <t>as well as cash on hand.</t>
  </si>
  <si>
    <t>Net cash</t>
  </si>
  <si>
    <t>A/R</t>
  </si>
  <si>
    <t>Inventory</t>
  </si>
  <si>
    <t>PP&amp;E</t>
  </si>
  <si>
    <t>Goodwill</t>
  </si>
  <si>
    <t>Assets</t>
  </si>
  <si>
    <t>A/P</t>
  </si>
  <si>
    <t>ECB</t>
  </si>
  <si>
    <t>Other</t>
  </si>
  <si>
    <t>Liabilities</t>
  </si>
  <si>
    <t>S/E</t>
  </si>
  <si>
    <t>L+S/E</t>
  </si>
  <si>
    <t>Model NI</t>
  </si>
  <si>
    <t>Reported NI</t>
  </si>
  <si>
    <t>D&amp;A</t>
  </si>
  <si>
    <t>SBC</t>
  </si>
  <si>
    <t>DT</t>
  </si>
  <si>
    <t>Working capital</t>
  </si>
  <si>
    <t>CFFO</t>
  </si>
  <si>
    <t>Acquisition</t>
  </si>
  <si>
    <t>CapEx</t>
  </si>
  <si>
    <t>Investments</t>
  </si>
  <si>
    <t>CFFI</t>
  </si>
  <si>
    <t>Dividends</t>
  </si>
  <si>
    <t>Buybacks</t>
  </si>
  <si>
    <t>Issuance common stock</t>
  </si>
  <si>
    <t>CFFF</t>
  </si>
  <si>
    <t>CIC</t>
  </si>
  <si>
    <t>CFFO+CapEx-SBC</t>
  </si>
  <si>
    <t>Merger VMware in November 2023, purchase approxmately $86.3 billion</t>
  </si>
  <si>
    <t>Virtualisatie programs</t>
  </si>
  <si>
    <t>Vmware, Microsoft Virtual PC, Xen, QEMU, VirtualBox, Parallels, Bochs, Docker.</t>
  </si>
  <si>
    <t>TTM</t>
  </si>
  <si>
    <t>FCF</t>
  </si>
  <si>
    <t>Subscription &amp; SaaS</t>
  </si>
  <si>
    <t>Service</t>
  </si>
  <si>
    <t>License</t>
  </si>
  <si>
    <t>Cost of license</t>
  </si>
  <si>
    <t>Cost of subscription and SaaS</t>
  </si>
  <si>
    <t>Cost of service</t>
  </si>
  <si>
    <t>S&amp;M</t>
  </si>
  <si>
    <t>G&amp;A</t>
  </si>
  <si>
    <t>OpInc</t>
  </si>
  <si>
    <t>Debt extinguishment</t>
  </si>
  <si>
    <t>Sale of businesses</t>
  </si>
  <si>
    <t>R&amp;D margin</t>
  </si>
  <si>
    <t>Founded</t>
  </si>
  <si>
    <t>Founders</t>
  </si>
  <si>
    <t>CEO</t>
  </si>
  <si>
    <t>Henry Nicholas, Henry Samueli</t>
  </si>
  <si>
    <t>Hock E. Tan</t>
  </si>
  <si>
    <t>ESOP</t>
  </si>
  <si>
    <t>NI TTM</t>
  </si>
  <si>
    <t>ROTA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</si>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</sst>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5" formatCode="d/mm/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left" indent="1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</xdr:colOff>
      <xdr:row>0</xdr:row>
      <xdr:rowOff>9525</xdr:rowOff>
    </xdr:from>
    <xdr:to>
      <xdr:col>19</xdr:col>
      <xdr:colOff>28575</xdr:colOff>
      <xdr:row>78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755005A-3B58-C190-5A43-CC028B4387C8}"/>
            </a:ext>
          </a:extLst>
        </xdr:cNvPr>
        <xdr:cNvCxnSpPr/>
      </xdr:nvCxnSpPr>
      <xdr:spPr>
        <a:xfrm>
          <a:off x="12068175" y="9525"/>
          <a:ext cx="0" cy="12915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0</xdr:row>
      <xdr:rowOff>9525</xdr:rowOff>
    </xdr:from>
    <xdr:to>
      <xdr:col>34</xdr:col>
      <xdr:colOff>19050</xdr:colOff>
      <xdr:row>79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BF5EB2-EDE1-4C20-84DD-08AA181AA9DA}"/>
            </a:ext>
          </a:extLst>
        </xdr:cNvPr>
        <xdr:cNvCxnSpPr/>
      </xdr:nvCxnSpPr>
      <xdr:spPr>
        <a:xfrm>
          <a:off x="18764250" y="9525"/>
          <a:ext cx="0" cy="132873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34D9-D045-4E4B-A1A0-583A4273E16B}">
  <dimension ref="C3:M14"/>
  <sheetViews>
    <sheetView workbookViewId="0">
      <selection activeCell="F21" sqref="F21"/>
    </sheetView>
  </sheetViews>
  <sheetFormatPr defaultRowHeight="12.75" x14ac:dyDescent="0.2"/>
  <cols>
    <col min="1" max="1" width="3.5703125" customWidth="1"/>
    <col min="3" max="3" width="9.140625" customWidth="1"/>
  </cols>
  <sheetData>
    <row r="3" spans="3:13" x14ac:dyDescent="0.2">
      <c r="C3" t="s">
        <v>73</v>
      </c>
      <c r="K3" t="s">
        <v>0</v>
      </c>
      <c r="L3" s="7">
        <v>171</v>
      </c>
    </row>
    <row r="4" spans="3:13" x14ac:dyDescent="0.2">
      <c r="C4" t="s">
        <v>42</v>
      </c>
      <c r="K4" t="s">
        <v>1</v>
      </c>
      <c r="L4" s="1">
        <v>4701.9487170000002</v>
      </c>
      <c r="M4" s="2" t="s">
        <v>40</v>
      </c>
    </row>
    <row r="5" spans="3:13" x14ac:dyDescent="0.2">
      <c r="C5" t="s">
        <v>43</v>
      </c>
      <c r="K5" t="s">
        <v>2</v>
      </c>
      <c r="L5" s="1">
        <f>+L3*L4</f>
        <v>804033.23060700006</v>
      </c>
      <c r="M5" s="2"/>
    </row>
    <row r="6" spans="3:13" x14ac:dyDescent="0.2">
      <c r="K6" t="s">
        <v>3</v>
      </c>
      <c r="L6" s="1">
        <f>+Model!S29</f>
        <v>9307</v>
      </c>
      <c r="M6" s="2" t="s">
        <v>40</v>
      </c>
    </row>
    <row r="7" spans="3:13" x14ac:dyDescent="0.2">
      <c r="C7" t="s">
        <v>74</v>
      </c>
      <c r="K7" t="s">
        <v>4</v>
      </c>
      <c r="L7" s="1">
        <f>+Model!S38</f>
        <v>66579</v>
      </c>
      <c r="M7" s="2" t="s">
        <v>40</v>
      </c>
    </row>
    <row r="8" spans="3:13" x14ac:dyDescent="0.2">
      <c r="C8" t="s">
        <v>75</v>
      </c>
      <c r="K8" t="s">
        <v>5</v>
      </c>
      <c r="L8" s="1">
        <f>+L5-L6+L7</f>
        <v>861305.23060700006</v>
      </c>
    </row>
    <row r="9" spans="3:13" x14ac:dyDescent="0.2">
      <c r="L9" s="1">
        <f>+SUM(Model!P15:S15)</f>
        <v>14121</v>
      </c>
    </row>
    <row r="10" spans="3:13" x14ac:dyDescent="0.2">
      <c r="L10" s="8">
        <f>+L8/L9</f>
        <v>60.994634275688696</v>
      </c>
    </row>
    <row r="12" spans="3:13" x14ac:dyDescent="0.2">
      <c r="K12" t="s">
        <v>90</v>
      </c>
      <c r="L12">
        <v>1991</v>
      </c>
    </row>
    <row r="13" spans="3:13" x14ac:dyDescent="0.2">
      <c r="K13" t="s">
        <v>91</v>
      </c>
      <c r="L13" t="s">
        <v>93</v>
      </c>
    </row>
    <row r="14" spans="3:13" x14ac:dyDescent="0.2">
      <c r="K14" t="s">
        <v>92</v>
      </c>
      <c r="L1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ACB4-77D6-4DB2-BBD8-DB068177C32F}">
  <dimension ref="B1:BL76"/>
  <sheetViews>
    <sheetView tabSelected="1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V14" sqref="V14"/>
    </sheetView>
  </sheetViews>
  <sheetFormatPr defaultRowHeight="12.75" x14ac:dyDescent="0.2"/>
  <cols>
    <col min="1" max="1" width="3.28515625" style="1" customWidth="1"/>
    <col min="2" max="2" width="21.85546875" style="1" bestFit="1" customWidth="1"/>
    <col min="3" max="16384" width="9.140625" style="1"/>
  </cols>
  <sheetData>
    <row r="1" spans="2:64" s="11" customFormat="1" x14ac:dyDescent="0.2">
      <c r="R1" s="11">
        <v>45599</v>
      </c>
      <c r="S1" s="11">
        <v>45690</v>
      </c>
    </row>
    <row r="2" spans="2:64" s="6" customFormat="1" x14ac:dyDescent="0.2"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6</v>
      </c>
      <c r="P2" s="6" t="s">
        <v>39</v>
      </c>
      <c r="Q2" s="6" t="s">
        <v>40</v>
      </c>
      <c r="R2" s="6" t="s">
        <v>41</v>
      </c>
      <c r="S2" s="6" t="s">
        <v>98</v>
      </c>
      <c r="T2" s="6" t="s">
        <v>99</v>
      </c>
      <c r="U2" s="6" t="s">
        <v>100</v>
      </c>
      <c r="V2" s="6" t="s">
        <v>101</v>
      </c>
      <c r="X2" s="2">
        <v>2014</v>
      </c>
      <c r="Y2" s="2">
        <f>+X2+1</f>
        <v>2015</v>
      </c>
      <c r="Z2" s="2">
        <f t="shared" ref="Z2:AR2" si="0">+Y2+1</f>
        <v>2016</v>
      </c>
      <c r="AA2" s="2">
        <f t="shared" si="0"/>
        <v>2017</v>
      </c>
      <c r="AB2" s="2">
        <f t="shared" si="0"/>
        <v>2018</v>
      </c>
      <c r="AC2" s="2">
        <f t="shared" si="0"/>
        <v>2019</v>
      </c>
      <c r="AD2" s="2">
        <f t="shared" si="0"/>
        <v>2020</v>
      </c>
      <c r="AE2" s="2">
        <f t="shared" si="0"/>
        <v>2021</v>
      </c>
      <c r="AF2" s="2">
        <f t="shared" si="0"/>
        <v>2022</v>
      </c>
      <c r="AG2" s="2">
        <f t="shared" si="0"/>
        <v>2023</v>
      </c>
      <c r="AH2" s="2">
        <f t="shared" si="0"/>
        <v>2024</v>
      </c>
      <c r="AI2" s="2">
        <f t="shared" si="0"/>
        <v>2025</v>
      </c>
      <c r="AJ2" s="2">
        <f t="shared" si="0"/>
        <v>2026</v>
      </c>
      <c r="AK2" s="2">
        <f t="shared" si="0"/>
        <v>2027</v>
      </c>
      <c r="AL2" s="2">
        <f t="shared" si="0"/>
        <v>2028</v>
      </c>
      <c r="AM2" s="2">
        <f t="shared" si="0"/>
        <v>2029</v>
      </c>
      <c r="AN2" s="2">
        <f t="shared" si="0"/>
        <v>2030</v>
      </c>
      <c r="AO2" s="2">
        <f t="shared" si="0"/>
        <v>2031</v>
      </c>
      <c r="AP2" s="2">
        <f t="shared" si="0"/>
        <v>2032</v>
      </c>
      <c r="AQ2" s="2">
        <f t="shared" si="0"/>
        <v>2033</v>
      </c>
      <c r="AR2" s="2">
        <f t="shared" si="0"/>
        <v>2034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2:64" x14ac:dyDescent="0.2">
      <c r="B3" s="1" t="s">
        <v>8</v>
      </c>
      <c r="C3" s="1">
        <v>5081</v>
      </c>
      <c r="D3" s="1">
        <v>4983</v>
      </c>
      <c r="E3" s="1">
        <v>5064</v>
      </c>
      <c r="F3" s="1">
        <f>+AE3-SUM(C3:E3)</f>
        <v>5758</v>
      </c>
      <c r="G3" s="1">
        <v>6053</v>
      </c>
      <c r="H3" s="1">
        <v>6417</v>
      </c>
      <c r="I3" s="1">
        <v>6627</v>
      </c>
      <c r="J3" s="1">
        <f>+AF3-SUM(G3:I3)</f>
        <v>7180</v>
      </c>
      <c r="K3" s="1">
        <v>7082</v>
      </c>
      <c r="L3" s="1">
        <v>6741</v>
      </c>
      <c r="M3" s="1">
        <v>6917</v>
      </c>
      <c r="N3" s="1">
        <f>+AG3-SUM(K3:M3)</f>
        <v>7151</v>
      </c>
      <c r="O3" s="1">
        <v>7412</v>
      </c>
      <c r="P3" s="1">
        <v>7192</v>
      </c>
      <c r="Q3" s="1">
        <v>7439</v>
      </c>
      <c r="R3" s="1">
        <f>+AH3-SUM(O3:Q3)</f>
        <v>8316</v>
      </c>
      <c r="S3" s="1">
        <v>8171</v>
      </c>
      <c r="AD3" s="1">
        <v>17435</v>
      </c>
      <c r="AE3" s="1">
        <v>20886</v>
      </c>
      <c r="AF3" s="1">
        <v>26277</v>
      </c>
      <c r="AG3" s="1">
        <v>27891</v>
      </c>
      <c r="AH3" s="1">
        <v>30359</v>
      </c>
    </row>
    <row r="4" spans="2:64" x14ac:dyDescent="0.2">
      <c r="B4" s="1" t="s">
        <v>9</v>
      </c>
      <c r="C4" s="1">
        <v>1574</v>
      </c>
      <c r="D4" s="1">
        <v>1627</v>
      </c>
      <c r="E4" s="1">
        <v>1714</v>
      </c>
      <c r="F4" s="1">
        <f>+AE4-SUM(C4:E4)</f>
        <v>1649</v>
      </c>
      <c r="G4" s="1">
        <v>1653</v>
      </c>
      <c r="H4" s="1">
        <v>1686</v>
      </c>
      <c r="I4" s="1">
        <v>1837</v>
      </c>
      <c r="J4" s="1">
        <f>+AF4-SUM(G4:I4)</f>
        <v>1750</v>
      </c>
      <c r="K4" s="1">
        <v>1833</v>
      </c>
      <c r="L4" s="1">
        <v>1992</v>
      </c>
      <c r="M4" s="1">
        <v>1959</v>
      </c>
      <c r="N4" s="1">
        <f>+AG4-SUM(K4:M4)</f>
        <v>2144</v>
      </c>
      <c r="O4" s="1">
        <v>4549</v>
      </c>
      <c r="P4" s="1">
        <v>5295</v>
      </c>
      <c r="Q4" s="1">
        <v>5633</v>
      </c>
      <c r="R4" s="1">
        <f>+AH4-SUM(O4:Q4)</f>
        <v>5738</v>
      </c>
      <c r="S4" s="1">
        <v>6745</v>
      </c>
      <c r="AD4" s="1">
        <v>6453</v>
      </c>
      <c r="AE4" s="1">
        <v>6564</v>
      </c>
      <c r="AF4" s="1">
        <v>6926</v>
      </c>
      <c r="AG4" s="1">
        <v>7928</v>
      </c>
      <c r="AH4" s="1">
        <v>21215</v>
      </c>
    </row>
    <row r="5" spans="2:64" s="3" customFormat="1" x14ac:dyDescent="0.2">
      <c r="B5" s="3" t="s">
        <v>7</v>
      </c>
      <c r="C5" s="3">
        <f t="shared" ref="C5:R5" si="1">+C3+C4</f>
        <v>6655</v>
      </c>
      <c r="D5" s="3">
        <f t="shared" si="1"/>
        <v>6610</v>
      </c>
      <c r="E5" s="3">
        <f t="shared" si="1"/>
        <v>6778</v>
      </c>
      <c r="F5" s="3">
        <f t="shared" si="1"/>
        <v>7407</v>
      </c>
      <c r="G5" s="3">
        <f t="shared" si="1"/>
        <v>7706</v>
      </c>
      <c r="H5" s="3">
        <f t="shared" si="1"/>
        <v>8103</v>
      </c>
      <c r="I5" s="3">
        <f t="shared" si="1"/>
        <v>8464</v>
      </c>
      <c r="J5" s="3">
        <f t="shared" si="1"/>
        <v>8930</v>
      </c>
      <c r="K5" s="3">
        <f t="shared" si="1"/>
        <v>8915</v>
      </c>
      <c r="L5" s="3">
        <f t="shared" si="1"/>
        <v>8733</v>
      </c>
      <c r="M5" s="3">
        <f t="shared" si="1"/>
        <v>8876</v>
      </c>
      <c r="N5" s="3">
        <f t="shared" si="1"/>
        <v>9295</v>
      </c>
      <c r="O5" s="3">
        <f t="shared" si="1"/>
        <v>11961</v>
      </c>
      <c r="P5" s="3">
        <f t="shared" si="1"/>
        <v>12487</v>
      </c>
      <c r="Q5" s="3">
        <f t="shared" si="1"/>
        <v>13072</v>
      </c>
      <c r="R5" s="3">
        <f t="shared" si="1"/>
        <v>14054</v>
      </c>
      <c r="S5" s="3">
        <f t="shared" ref="S5" si="2">+S3+S4</f>
        <v>14916</v>
      </c>
      <c r="AD5" s="3">
        <f>+AD3+AD4</f>
        <v>23888</v>
      </c>
      <c r="AE5" s="3">
        <f>+AE3+AE4</f>
        <v>27450</v>
      </c>
      <c r="AF5" s="3">
        <f>+AF3+AF4</f>
        <v>33203</v>
      </c>
      <c r="AG5" s="3">
        <f>+AG3+AG4</f>
        <v>35819</v>
      </c>
      <c r="AH5" s="3">
        <f>+AH3+AH4</f>
        <v>51574</v>
      </c>
    </row>
    <row r="6" spans="2:64" x14ac:dyDescent="0.2">
      <c r="B6" s="1" t="s">
        <v>10</v>
      </c>
      <c r="C6" s="1">
        <v>2703</v>
      </c>
      <c r="D6" s="1">
        <v>2553</v>
      </c>
      <c r="E6" s="1">
        <v>2581</v>
      </c>
      <c r="F6" s="1">
        <f>+AE6-SUM(C6:E6)</f>
        <v>2769</v>
      </c>
      <c r="G6" s="1">
        <v>2657</v>
      </c>
      <c r="H6" s="1">
        <v>2664</v>
      </c>
      <c r="I6" s="1">
        <v>2783</v>
      </c>
      <c r="J6" s="1">
        <f>+AF6-SUM(G6:I6)</f>
        <v>3004</v>
      </c>
      <c r="K6" s="1">
        <v>2911</v>
      </c>
      <c r="L6" s="1">
        <v>2618</v>
      </c>
      <c r="M6" s="1">
        <v>2712</v>
      </c>
      <c r="N6" s="1">
        <f>+AG6-SUM(K6:M6)</f>
        <v>2888</v>
      </c>
      <c r="O6" s="1">
        <v>4586</v>
      </c>
      <c r="P6" s="1">
        <v>4711</v>
      </c>
      <c r="Q6" s="1">
        <v>3133</v>
      </c>
      <c r="R6" s="1">
        <f>+AH6-SUM(O6:Q6)</f>
        <v>6635</v>
      </c>
      <c r="S6" s="1">
        <v>4771</v>
      </c>
      <c r="AD6" s="1">
        <v>10372</v>
      </c>
      <c r="AE6" s="1">
        <v>10606</v>
      </c>
      <c r="AF6" s="1">
        <v>11108</v>
      </c>
      <c r="AG6" s="1">
        <v>11129</v>
      </c>
      <c r="AH6" s="1">
        <v>19065</v>
      </c>
    </row>
    <row r="7" spans="2:64" s="3" customFormat="1" x14ac:dyDescent="0.2">
      <c r="B7" s="3" t="s">
        <v>11</v>
      </c>
      <c r="C7" s="3">
        <f t="shared" ref="C7:P7" si="3">+C5-C6</f>
        <v>3952</v>
      </c>
      <c r="D7" s="3">
        <f t="shared" si="3"/>
        <v>4057</v>
      </c>
      <c r="E7" s="3">
        <f t="shared" si="3"/>
        <v>4197</v>
      </c>
      <c r="F7" s="3">
        <f t="shared" si="3"/>
        <v>4638</v>
      </c>
      <c r="G7" s="3">
        <f t="shared" si="3"/>
        <v>5049</v>
      </c>
      <c r="H7" s="3">
        <f t="shared" si="3"/>
        <v>5439</v>
      </c>
      <c r="I7" s="3">
        <f t="shared" si="3"/>
        <v>5681</v>
      </c>
      <c r="J7" s="3">
        <f t="shared" si="3"/>
        <v>5926</v>
      </c>
      <c r="K7" s="3">
        <f t="shared" si="3"/>
        <v>6004</v>
      </c>
      <c r="L7" s="3">
        <f t="shared" si="3"/>
        <v>6115</v>
      </c>
      <c r="M7" s="3">
        <f t="shared" si="3"/>
        <v>6164</v>
      </c>
      <c r="N7" s="3">
        <f t="shared" si="3"/>
        <v>6407</v>
      </c>
      <c r="O7" s="3">
        <f t="shared" si="3"/>
        <v>7375</v>
      </c>
      <c r="P7" s="3">
        <f t="shared" si="3"/>
        <v>7776</v>
      </c>
      <c r="Q7" s="3">
        <f t="shared" ref="Q7" si="4">+Q5-Q6</f>
        <v>9939</v>
      </c>
      <c r="R7" s="3">
        <f>+R5-R6</f>
        <v>7419</v>
      </c>
      <c r="S7" s="3">
        <f t="shared" ref="S7" si="5">+S5-S6</f>
        <v>10145</v>
      </c>
      <c r="AD7" s="3">
        <f>+AD5-AD6</f>
        <v>13516</v>
      </c>
      <c r="AE7" s="3">
        <f>+AE5-AE6</f>
        <v>16844</v>
      </c>
      <c r="AF7" s="3">
        <f>+AF5-AF6</f>
        <v>22095</v>
      </c>
      <c r="AG7" s="3">
        <f>+AG5-AG6</f>
        <v>24690</v>
      </c>
      <c r="AH7" s="3">
        <f>+AH5-AH6</f>
        <v>32509</v>
      </c>
    </row>
    <row r="8" spans="2:64" x14ac:dyDescent="0.2">
      <c r="B8" s="1" t="s">
        <v>12</v>
      </c>
      <c r="C8" s="1">
        <v>1211</v>
      </c>
      <c r="D8" s="1">
        <v>1238</v>
      </c>
      <c r="E8" s="1">
        <v>1205</v>
      </c>
      <c r="F8" s="1">
        <f>+AE8-SUM(C8:E8)</f>
        <v>1200</v>
      </c>
      <c r="G8" s="1">
        <v>1206</v>
      </c>
      <c r="H8" s="1">
        <v>1261</v>
      </c>
      <c r="I8" s="1">
        <v>1255</v>
      </c>
      <c r="J8" s="1">
        <f>+AF8-SUM(G8:I8)</f>
        <v>1197</v>
      </c>
      <c r="K8" s="1">
        <v>1195</v>
      </c>
      <c r="L8" s="1">
        <v>1312</v>
      </c>
      <c r="M8" s="1">
        <v>1358</v>
      </c>
      <c r="N8" s="1">
        <f>+AG8-SUM(K8:M8)</f>
        <v>1388</v>
      </c>
      <c r="O8" s="1">
        <v>2308</v>
      </c>
      <c r="P8" s="1">
        <v>2415</v>
      </c>
      <c r="Q8" s="1">
        <v>2353</v>
      </c>
      <c r="R8" s="1">
        <f>+AH8-SUM(O8:Q8)</f>
        <v>2234</v>
      </c>
      <c r="S8" s="1">
        <v>2253</v>
      </c>
      <c r="AD8" s="1">
        <v>4968</v>
      </c>
      <c r="AE8" s="1">
        <v>4854</v>
      </c>
      <c r="AF8" s="1">
        <v>4919</v>
      </c>
      <c r="AG8" s="1">
        <v>5253</v>
      </c>
      <c r="AH8" s="1">
        <v>9310</v>
      </c>
    </row>
    <row r="9" spans="2:64" x14ac:dyDescent="0.2">
      <c r="B9" s="1" t="s">
        <v>13</v>
      </c>
      <c r="C9" s="1">
        <v>339</v>
      </c>
      <c r="D9" s="1">
        <v>325</v>
      </c>
      <c r="E9" s="1">
        <v>346</v>
      </c>
      <c r="F9" s="1">
        <f>+AE9-SUM(C9:E9)</f>
        <v>337</v>
      </c>
      <c r="G9" s="1">
        <v>321</v>
      </c>
      <c r="H9" s="1">
        <v>368</v>
      </c>
      <c r="I9" s="1">
        <v>323</v>
      </c>
      <c r="J9" s="1">
        <f>+AF9-SUM(G9:I9)</f>
        <v>370</v>
      </c>
      <c r="K9" s="1">
        <v>348</v>
      </c>
      <c r="L9" s="1">
        <v>438</v>
      </c>
      <c r="M9" s="1">
        <v>388</v>
      </c>
      <c r="N9" s="1">
        <f>+AG9-SUM(K9:M9)</f>
        <v>418</v>
      </c>
      <c r="O9" s="1">
        <v>1572</v>
      </c>
      <c r="P9" s="1">
        <v>1277</v>
      </c>
      <c r="Q9" s="1">
        <v>1100</v>
      </c>
      <c r="R9" s="1">
        <f>+AH9-SUM(O9:Q9)</f>
        <v>1010</v>
      </c>
      <c r="S9" s="1">
        <v>949</v>
      </c>
      <c r="AD9" s="1">
        <v>1935</v>
      </c>
      <c r="AE9" s="1">
        <v>1347</v>
      </c>
      <c r="AF9" s="1">
        <v>1382</v>
      </c>
      <c r="AG9" s="1">
        <v>1592</v>
      </c>
      <c r="AH9" s="1">
        <v>4959</v>
      </c>
    </row>
    <row r="10" spans="2:64" x14ac:dyDescent="0.2">
      <c r="B10" s="1" t="s">
        <v>14</v>
      </c>
      <c r="C10" s="1">
        <f t="shared" ref="C10:P10" si="6">+C8+C9</f>
        <v>1550</v>
      </c>
      <c r="D10" s="1">
        <f t="shared" si="6"/>
        <v>1563</v>
      </c>
      <c r="E10" s="1">
        <f t="shared" si="6"/>
        <v>1551</v>
      </c>
      <c r="F10" s="1">
        <f t="shared" si="6"/>
        <v>1537</v>
      </c>
      <c r="G10" s="1">
        <f t="shared" si="6"/>
        <v>1527</v>
      </c>
      <c r="H10" s="1">
        <f t="shared" si="6"/>
        <v>1629</v>
      </c>
      <c r="I10" s="1">
        <f t="shared" si="6"/>
        <v>1578</v>
      </c>
      <c r="J10" s="1">
        <f t="shared" si="6"/>
        <v>1567</v>
      </c>
      <c r="K10" s="1">
        <f t="shared" si="6"/>
        <v>1543</v>
      </c>
      <c r="L10" s="1">
        <f t="shared" si="6"/>
        <v>1750</v>
      </c>
      <c r="M10" s="1">
        <f t="shared" si="6"/>
        <v>1746</v>
      </c>
      <c r="N10" s="1">
        <f t="shared" si="6"/>
        <v>1806</v>
      </c>
      <c r="O10" s="1">
        <f t="shared" si="6"/>
        <v>3880</v>
      </c>
      <c r="P10" s="1">
        <f t="shared" si="6"/>
        <v>3692</v>
      </c>
      <c r="Q10" s="1">
        <f t="shared" ref="Q10:S10" si="7">+Q8+Q9</f>
        <v>3453</v>
      </c>
      <c r="R10" s="1">
        <f t="shared" si="7"/>
        <v>3244</v>
      </c>
      <c r="S10" s="1">
        <f t="shared" si="7"/>
        <v>3202</v>
      </c>
      <c r="AD10" s="1">
        <f>+AD8+AD9</f>
        <v>6903</v>
      </c>
      <c r="AE10" s="1">
        <f>+AE8+AE9</f>
        <v>6201</v>
      </c>
      <c r="AF10" s="1">
        <f>+AF8+AF9</f>
        <v>6301</v>
      </c>
      <c r="AG10" s="1">
        <f>+AG8+AG9</f>
        <v>6845</v>
      </c>
      <c r="AH10" s="1">
        <f>+AH8+AH9</f>
        <v>14269</v>
      </c>
    </row>
    <row r="11" spans="2:64" s="3" customFormat="1" x14ac:dyDescent="0.2">
      <c r="B11" s="3" t="s">
        <v>15</v>
      </c>
      <c r="C11" s="3">
        <f t="shared" ref="C11:P11" si="8">+C7-C10</f>
        <v>2402</v>
      </c>
      <c r="D11" s="3">
        <f t="shared" si="8"/>
        <v>2494</v>
      </c>
      <c r="E11" s="3">
        <f t="shared" si="8"/>
        <v>2646</v>
      </c>
      <c r="F11" s="3">
        <f t="shared" si="8"/>
        <v>3101</v>
      </c>
      <c r="G11" s="3">
        <f t="shared" si="8"/>
        <v>3522</v>
      </c>
      <c r="H11" s="3">
        <f t="shared" si="8"/>
        <v>3810</v>
      </c>
      <c r="I11" s="3">
        <f t="shared" si="8"/>
        <v>4103</v>
      </c>
      <c r="J11" s="3">
        <f t="shared" si="8"/>
        <v>4359</v>
      </c>
      <c r="K11" s="3">
        <f t="shared" si="8"/>
        <v>4461</v>
      </c>
      <c r="L11" s="3">
        <f t="shared" si="8"/>
        <v>4365</v>
      </c>
      <c r="M11" s="3">
        <f t="shared" si="8"/>
        <v>4418</v>
      </c>
      <c r="N11" s="3">
        <f t="shared" si="8"/>
        <v>4601</v>
      </c>
      <c r="O11" s="3">
        <f t="shared" si="8"/>
        <v>3495</v>
      </c>
      <c r="P11" s="3">
        <f t="shared" si="8"/>
        <v>4084</v>
      </c>
      <c r="Q11" s="3">
        <f t="shared" ref="Q11:S11" si="9">+Q7-Q10</f>
        <v>6486</v>
      </c>
      <c r="R11" s="3">
        <f t="shared" si="9"/>
        <v>4175</v>
      </c>
      <c r="S11" s="3">
        <f t="shared" si="9"/>
        <v>6943</v>
      </c>
      <c r="AD11" s="3">
        <f>+AD7-AD10</f>
        <v>6613</v>
      </c>
      <c r="AE11" s="3">
        <f>+AE7-AE10</f>
        <v>10643</v>
      </c>
      <c r="AF11" s="3">
        <f>+AF7-AF10</f>
        <v>15794</v>
      </c>
      <c r="AG11" s="3">
        <f>+AG7-AG10</f>
        <v>17845</v>
      </c>
      <c r="AH11" s="3">
        <f>+AH7-AH10</f>
        <v>18240</v>
      </c>
    </row>
    <row r="12" spans="2:64" x14ac:dyDescent="0.2">
      <c r="B12" s="1" t="s">
        <v>16</v>
      </c>
      <c r="C12" s="1">
        <v>-570</v>
      </c>
      <c r="D12" s="1">
        <v>-466</v>
      </c>
      <c r="E12" s="1">
        <v>-415</v>
      </c>
      <c r="F12" s="1">
        <f>+AE12-SUM(C12:E12)</f>
        <v>-434</v>
      </c>
      <c r="G12" s="1">
        <v>-407</v>
      </c>
      <c r="H12" s="1">
        <v>-518</v>
      </c>
      <c r="I12" s="1">
        <v>-406</v>
      </c>
      <c r="J12" s="1">
        <f>+AF12-SUM(G12:I12)</f>
        <v>-406</v>
      </c>
      <c r="K12" s="1">
        <v>-406</v>
      </c>
      <c r="L12" s="1">
        <v>-405</v>
      </c>
      <c r="M12" s="1">
        <v>-406</v>
      </c>
      <c r="N12" s="1">
        <f>+AG12-SUM(K12:M12)</f>
        <v>-405</v>
      </c>
      <c r="O12" s="1">
        <v>-926</v>
      </c>
      <c r="P12" s="1">
        <v>-1047</v>
      </c>
      <c r="Q12" s="1">
        <v>-1064</v>
      </c>
      <c r="R12" s="1">
        <f>+AH12-SUM(O12:Q12)</f>
        <v>-916</v>
      </c>
      <c r="S12" s="1">
        <v>-873</v>
      </c>
      <c r="AD12" s="1">
        <v>-1777</v>
      </c>
      <c r="AE12" s="1">
        <v>-1885</v>
      </c>
      <c r="AF12" s="1">
        <v>-1737</v>
      </c>
      <c r="AG12" s="1">
        <v>-1622</v>
      </c>
      <c r="AH12" s="1">
        <v>-3953</v>
      </c>
    </row>
    <row r="13" spans="2:64" x14ac:dyDescent="0.2">
      <c r="B13" s="1" t="s">
        <v>18</v>
      </c>
      <c r="C13" s="1">
        <f t="shared" ref="C13:AG13" si="10">+C11+C12</f>
        <v>1832</v>
      </c>
      <c r="D13" s="1">
        <f t="shared" si="10"/>
        <v>2028</v>
      </c>
      <c r="E13" s="1">
        <f t="shared" si="10"/>
        <v>2231</v>
      </c>
      <c r="F13" s="1">
        <f t="shared" si="10"/>
        <v>2667</v>
      </c>
      <c r="G13" s="1">
        <f t="shared" si="10"/>
        <v>3115</v>
      </c>
      <c r="H13" s="1">
        <f t="shared" si="10"/>
        <v>3292</v>
      </c>
      <c r="I13" s="1">
        <f t="shared" si="10"/>
        <v>3697</v>
      </c>
      <c r="J13" s="1">
        <f t="shared" si="10"/>
        <v>3953</v>
      </c>
      <c r="K13" s="1">
        <f t="shared" si="10"/>
        <v>4055</v>
      </c>
      <c r="L13" s="1">
        <f t="shared" si="10"/>
        <v>3960</v>
      </c>
      <c r="M13" s="1">
        <f t="shared" si="10"/>
        <v>4012</v>
      </c>
      <c r="N13" s="1">
        <f t="shared" si="10"/>
        <v>4196</v>
      </c>
      <c r="O13" s="1">
        <f t="shared" si="10"/>
        <v>2569</v>
      </c>
      <c r="P13" s="1">
        <f t="shared" si="10"/>
        <v>3037</v>
      </c>
      <c r="Q13" s="1">
        <f t="shared" si="10"/>
        <v>5422</v>
      </c>
      <c r="R13" s="1">
        <f t="shared" si="10"/>
        <v>3259</v>
      </c>
      <c r="S13" s="1">
        <f t="shared" si="10"/>
        <v>6070</v>
      </c>
      <c r="AD13" s="1">
        <f t="shared" si="10"/>
        <v>4836</v>
      </c>
      <c r="AE13" s="1">
        <f t="shared" si="10"/>
        <v>8758</v>
      </c>
      <c r="AF13" s="1">
        <f t="shared" si="10"/>
        <v>14057</v>
      </c>
      <c r="AG13" s="1">
        <f t="shared" si="10"/>
        <v>16223</v>
      </c>
      <c r="AH13" s="1">
        <f>+AH11+AH12</f>
        <v>14287</v>
      </c>
    </row>
    <row r="14" spans="2:64" x14ac:dyDescent="0.2">
      <c r="B14" s="1" t="s">
        <v>19</v>
      </c>
      <c r="C14" s="1">
        <v>6</v>
      </c>
      <c r="D14" s="1">
        <v>-7</v>
      </c>
      <c r="E14" s="1">
        <v>-150</v>
      </c>
      <c r="F14" s="1">
        <f>+AE14-SUM(C14:E14)</f>
        <v>180</v>
      </c>
      <c r="G14" s="1">
        <v>215</v>
      </c>
      <c r="H14" s="1">
        <v>200</v>
      </c>
      <c r="I14" s="1">
        <v>263</v>
      </c>
      <c r="J14" s="1">
        <f>+AF14-SUM(G14:I14)</f>
        <v>261</v>
      </c>
      <c r="K14" s="1">
        <v>66</v>
      </c>
      <c r="L14" s="1">
        <v>235</v>
      </c>
      <c r="M14" s="1">
        <v>271</v>
      </c>
      <c r="N14" s="1">
        <f>+AG14-SUM(K14:M14)</f>
        <v>443</v>
      </c>
      <c r="O14" s="1">
        <v>68</v>
      </c>
      <c r="P14" s="1">
        <v>-116</v>
      </c>
      <c r="Q14" s="1">
        <v>4238</v>
      </c>
      <c r="R14" s="1">
        <f>+AH14-SUM(O14:Q14)</f>
        <v>-442</v>
      </c>
      <c r="S14" s="1">
        <v>-13</v>
      </c>
      <c r="U14" s="3"/>
      <c r="V14" s="3"/>
      <c r="AD14" s="1">
        <v>-518</v>
      </c>
      <c r="AE14" s="1">
        <v>29</v>
      </c>
      <c r="AF14" s="1">
        <v>939</v>
      </c>
      <c r="AG14" s="1">
        <v>1015</v>
      </c>
      <c r="AH14" s="1">
        <v>3748</v>
      </c>
    </row>
    <row r="15" spans="2:64" s="3" customFormat="1" x14ac:dyDescent="0.2">
      <c r="B15" s="3" t="s">
        <v>20</v>
      </c>
      <c r="C15" s="3">
        <f t="shared" ref="C15:P15" si="11">+C13-C14</f>
        <v>1826</v>
      </c>
      <c r="D15" s="3">
        <f t="shared" si="11"/>
        <v>2035</v>
      </c>
      <c r="E15" s="3">
        <f t="shared" si="11"/>
        <v>2381</v>
      </c>
      <c r="F15" s="3">
        <f t="shared" si="11"/>
        <v>2487</v>
      </c>
      <c r="G15" s="3">
        <f t="shared" si="11"/>
        <v>2900</v>
      </c>
      <c r="H15" s="3">
        <f t="shared" si="11"/>
        <v>3092</v>
      </c>
      <c r="I15" s="3">
        <f t="shared" si="11"/>
        <v>3434</v>
      </c>
      <c r="J15" s="3">
        <f t="shared" si="11"/>
        <v>3692</v>
      </c>
      <c r="K15" s="3">
        <f t="shared" si="11"/>
        <v>3989</v>
      </c>
      <c r="L15" s="3">
        <f t="shared" si="11"/>
        <v>3725</v>
      </c>
      <c r="M15" s="3">
        <f t="shared" si="11"/>
        <v>3741</v>
      </c>
      <c r="N15" s="3">
        <f t="shared" si="11"/>
        <v>3753</v>
      </c>
      <c r="O15" s="3">
        <f t="shared" si="11"/>
        <v>2501</v>
      </c>
      <c r="P15" s="3">
        <f t="shared" si="11"/>
        <v>3153</v>
      </c>
      <c r="Q15" s="3">
        <f t="shared" ref="Q15" si="12">+Q13-Q14</f>
        <v>1184</v>
      </c>
      <c r="R15" s="3">
        <f>+R13-R14</f>
        <v>3701</v>
      </c>
      <c r="S15" s="3">
        <f t="shared" ref="S15" si="13">+S13-S14</f>
        <v>6083</v>
      </c>
      <c r="AD15" s="3">
        <f>+AD13-AD14</f>
        <v>5354</v>
      </c>
      <c r="AE15" s="3">
        <f>+AE13-AE14</f>
        <v>8729</v>
      </c>
      <c r="AF15" s="3">
        <f>+AF13-AF14</f>
        <v>13118</v>
      </c>
      <c r="AG15" s="3">
        <f>+AG13-AG14</f>
        <v>15208</v>
      </c>
      <c r="AH15" s="3">
        <f>+SUM(O15:R15)</f>
        <v>10539</v>
      </c>
    </row>
    <row r="16" spans="2:64" x14ac:dyDescent="0.2">
      <c r="B16" s="1" t="s">
        <v>21</v>
      </c>
      <c r="C16" s="7" t="e">
        <f t="shared" ref="C16:P16" si="14">+C15/C17</f>
        <v>#DIV/0!</v>
      </c>
      <c r="D16" s="7" t="e">
        <f t="shared" si="14"/>
        <v>#DIV/0!</v>
      </c>
      <c r="E16" s="7" t="e">
        <f t="shared" si="14"/>
        <v>#DIV/0!</v>
      </c>
      <c r="F16" s="7" t="e">
        <f t="shared" si="14"/>
        <v>#DIV/0!</v>
      </c>
      <c r="G16" s="7" t="e">
        <f t="shared" si="14"/>
        <v>#DIV/0!</v>
      </c>
      <c r="H16" s="7" t="e">
        <f t="shared" si="14"/>
        <v>#DIV/0!</v>
      </c>
      <c r="I16" s="7" t="e">
        <f t="shared" si="14"/>
        <v>#DIV/0!</v>
      </c>
      <c r="J16" s="7">
        <f t="shared" si="14"/>
        <v>0.21810018903591682</v>
      </c>
      <c r="K16" s="7">
        <f t="shared" si="14"/>
        <v>9.2983682983682989</v>
      </c>
      <c r="L16" s="7" t="e">
        <f t="shared" si="14"/>
        <v>#DIV/0!</v>
      </c>
      <c r="M16" s="7" t="e">
        <f t="shared" si="14"/>
        <v>#DIV/0!</v>
      </c>
      <c r="N16" s="7">
        <f t="shared" si="14"/>
        <v>0.22528363047001621</v>
      </c>
      <c r="O16" s="7">
        <f t="shared" si="14"/>
        <v>5.3554603854389722</v>
      </c>
      <c r="P16" s="7" t="e">
        <f t="shared" si="14"/>
        <v>#DIV/0!</v>
      </c>
      <c r="Q16" s="7" t="e">
        <f t="shared" ref="Q16:S16" si="15">+Q15/Q17</f>
        <v>#DIV/0!</v>
      </c>
      <c r="R16" s="7">
        <f t="shared" si="15"/>
        <v>0.19849825690533654</v>
      </c>
      <c r="S16" s="7">
        <f t="shared" si="15"/>
        <v>1.2578577336641852</v>
      </c>
      <c r="AD16" s="7" t="e">
        <f>+AD15/AD17</f>
        <v>#DIV/0!</v>
      </c>
      <c r="AE16" s="7" t="e">
        <f>+AE15/AE17</f>
        <v>#DIV/0!</v>
      </c>
      <c r="AF16" s="7">
        <f>+AF15/AF17</f>
        <v>3.0997164461247637</v>
      </c>
      <c r="AG16" s="7">
        <f>+AG15/AG17</f>
        <v>3.5599250936329589</v>
      </c>
      <c r="AH16" s="7">
        <f>+AH15/AH17</f>
        <v>2.2057346169945582</v>
      </c>
    </row>
    <row r="17" spans="2:34" x14ac:dyDescent="0.2">
      <c r="B17" s="1" t="s">
        <v>1</v>
      </c>
      <c r="J17" s="1">
        <f>+(AF17*4)-SUM(G17:I17)</f>
        <v>16928</v>
      </c>
      <c r="K17" s="1">
        <v>429</v>
      </c>
      <c r="N17" s="1">
        <f>+(AG17*4)-SUM(K17:M17)</f>
        <v>16659</v>
      </c>
      <c r="O17" s="1">
        <v>467</v>
      </c>
      <c r="R17" s="1">
        <f>+(AH17*4)-SUM(O17:Q17)</f>
        <v>18645</v>
      </c>
      <c r="S17" s="1">
        <v>4836</v>
      </c>
      <c r="AF17" s="1">
        <v>4232</v>
      </c>
      <c r="AG17" s="1">
        <v>4272</v>
      </c>
      <c r="AH17" s="1">
        <v>4778</v>
      </c>
    </row>
    <row r="19" spans="2:34" s="4" customFormat="1" x14ac:dyDescent="0.2">
      <c r="B19" s="4" t="s">
        <v>22</v>
      </c>
      <c r="C19" s="4">
        <f t="shared" ref="C19:S19" si="16">+C7/C5</f>
        <v>0.59383921863260702</v>
      </c>
      <c r="D19" s="4">
        <f t="shared" si="16"/>
        <v>0.61376701966717095</v>
      </c>
      <c r="E19" s="4">
        <f t="shared" si="16"/>
        <v>0.61920920625553255</v>
      </c>
      <c r="F19" s="4">
        <f t="shared" si="16"/>
        <v>0.62616443904414743</v>
      </c>
      <c r="G19" s="4">
        <f t="shared" si="16"/>
        <v>0.65520373734752146</v>
      </c>
      <c r="H19" s="4">
        <f t="shared" si="16"/>
        <v>0.67123287671232879</v>
      </c>
      <c r="I19" s="4">
        <f t="shared" si="16"/>
        <v>0.67119565217391308</v>
      </c>
      <c r="J19" s="4">
        <f t="shared" si="16"/>
        <v>0.66360582306830906</v>
      </c>
      <c r="K19" s="4">
        <f t="shared" si="16"/>
        <v>0.67347167694896237</v>
      </c>
      <c r="L19" s="4">
        <f t="shared" si="16"/>
        <v>0.70021756555593728</v>
      </c>
      <c r="M19" s="4">
        <f t="shared" si="16"/>
        <v>0.69445696259576384</v>
      </c>
      <c r="N19" s="4">
        <f t="shared" si="16"/>
        <v>0.68929532006455085</v>
      </c>
      <c r="O19" s="4">
        <f t="shared" si="16"/>
        <v>0.61658724186940894</v>
      </c>
      <c r="P19" s="4">
        <f t="shared" si="16"/>
        <v>0.62272763674221188</v>
      </c>
      <c r="Q19" s="4">
        <f t="shared" si="16"/>
        <v>0.76032741738066101</v>
      </c>
      <c r="R19" s="4">
        <f t="shared" si="16"/>
        <v>0.52789241497082684</v>
      </c>
      <c r="S19" s="4">
        <f t="shared" si="16"/>
        <v>0.68014212925717354</v>
      </c>
      <c r="AD19" s="4">
        <f>+AD7/AD5</f>
        <v>0.5658070997990623</v>
      </c>
      <c r="AE19" s="4">
        <f>+AE7/AE5</f>
        <v>0.61362477231329693</v>
      </c>
      <c r="AF19" s="4">
        <f>+AF7/AF5</f>
        <v>0.66545191699545225</v>
      </c>
      <c r="AG19" s="4">
        <f>+AG7/AG5</f>
        <v>0.68929897540411511</v>
      </c>
      <c r="AH19" s="4">
        <f>+AH7/AH5</f>
        <v>0.63033699150734868</v>
      </c>
    </row>
    <row r="20" spans="2:34" s="4" customFormat="1" x14ac:dyDescent="0.2">
      <c r="B20" s="4" t="s">
        <v>23</v>
      </c>
      <c r="C20" s="4">
        <f t="shared" ref="C20:S20" si="17">+C11/C5</f>
        <v>0.36093163035311798</v>
      </c>
      <c r="D20" s="4">
        <f t="shared" si="17"/>
        <v>0.37730711043872922</v>
      </c>
      <c r="E20" s="4">
        <f t="shared" si="17"/>
        <v>0.39038064325759814</v>
      </c>
      <c r="F20" s="4">
        <f t="shared" si="17"/>
        <v>0.41865802619144055</v>
      </c>
      <c r="G20" s="4">
        <f t="shared" si="17"/>
        <v>0.4570464573059953</v>
      </c>
      <c r="H20" s="4">
        <f t="shared" si="17"/>
        <v>0.47019622362088115</v>
      </c>
      <c r="I20" s="4">
        <f t="shared" si="17"/>
        <v>0.48475897920604916</v>
      </c>
      <c r="J20" s="4">
        <f t="shared" si="17"/>
        <v>0.48812989921612543</v>
      </c>
      <c r="K20" s="4">
        <f t="shared" si="17"/>
        <v>0.5003925967470555</v>
      </c>
      <c r="L20" s="4">
        <f t="shared" si="17"/>
        <v>0.49982823771899693</v>
      </c>
      <c r="M20" s="4">
        <f t="shared" si="17"/>
        <v>0.49774673276250564</v>
      </c>
      <c r="N20" s="4">
        <f t="shared" si="17"/>
        <v>0.49499731038192579</v>
      </c>
      <c r="O20" s="4">
        <f t="shared" si="17"/>
        <v>0.29219964885879107</v>
      </c>
      <c r="P20" s="4">
        <f t="shared" si="17"/>
        <v>0.32706014254825017</v>
      </c>
      <c r="Q20" s="4">
        <f t="shared" si="17"/>
        <v>0.49617503059975521</v>
      </c>
      <c r="R20" s="4">
        <f t="shared" si="17"/>
        <v>0.29706845026327022</v>
      </c>
      <c r="S20" s="4">
        <f t="shared" si="17"/>
        <v>0.46547331724322877</v>
      </c>
      <c r="AD20" s="4">
        <f>+AD11/AD5</f>
        <v>0.27683355659745479</v>
      </c>
      <c r="AE20" s="4">
        <f>+AE11/AE5</f>
        <v>0.3877231329690346</v>
      </c>
      <c r="AF20" s="4">
        <f>+AF11/AF5</f>
        <v>0.47567990844200825</v>
      </c>
      <c r="AG20" s="4">
        <f>+AG11/AG5</f>
        <v>0.49819927971188477</v>
      </c>
      <c r="AH20" s="4">
        <f>+AH11/AH5</f>
        <v>0.35366657618179703</v>
      </c>
    </row>
    <row r="21" spans="2:34" s="4" customFormat="1" x14ac:dyDescent="0.2">
      <c r="B21" s="4" t="s">
        <v>24</v>
      </c>
      <c r="C21" s="4">
        <f t="shared" ref="C21:S21" si="18">+C15/C5</f>
        <v>0.27438016528925618</v>
      </c>
      <c r="D21" s="4">
        <f t="shared" si="18"/>
        <v>0.30786686838124055</v>
      </c>
      <c r="E21" s="4">
        <f t="shared" si="18"/>
        <v>0.35128356447329595</v>
      </c>
      <c r="F21" s="4">
        <f t="shared" si="18"/>
        <v>0.33576346699068449</v>
      </c>
      <c r="G21" s="4">
        <f t="shared" si="18"/>
        <v>0.37633013236439139</v>
      </c>
      <c r="H21" s="4">
        <f t="shared" si="18"/>
        <v>0.38158706651857338</v>
      </c>
      <c r="I21" s="4">
        <f t="shared" si="18"/>
        <v>0.40571833648393196</v>
      </c>
      <c r="J21" s="4">
        <f t="shared" si="18"/>
        <v>0.41343784994400895</v>
      </c>
      <c r="K21" s="4">
        <f t="shared" si="18"/>
        <v>0.44744812114413907</v>
      </c>
      <c r="L21" s="4">
        <f t="shared" si="18"/>
        <v>0.42654299782434446</v>
      </c>
      <c r="M21" s="4">
        <f t="shared" si="18"/>
        <v>0.42147363677332134</v>
      </c>
      <c r="N21" s="4">
        <f t="shared" si="18"/>
        <v>0.40376546530392682</v>
      </c>
      <c r="O21" s="4">
        <f t="shared" si="18"/>
        <v>0.2090962294122565</v>
      </c>
      <c r="P21" s="4">
        <f t="shared" si="18"/>
        <v>0.25250260270681507</v>
      </c>
      <c r="Q21" s="4">
        <f t="shared" si="18"/>
        <v>9.057527539779682E-2</v>
      </c>
      <c r="R21" s="4">
        <f t="shared" si="18"/>
        <v>0.26334139746691332</v>
      </c>
      <c r="S21" s="4">
        <f t="shared" si="18"/>
        <v>0.40781710914454278</v>
      </c>
      <c r="AD21" s="4">
        <f>+AD15/AD5</f>
        <v>0.22412926992632284</v>
      </c>
      <c r="AE21" s="4">
        <f>+AE15/AE5</f>
        <v>0.31799635701275047</v>
      </c>
      <c r="AF21" s="4">
        <f>+AF15/AF5</f>
        <v>0.39508478149564796</v>
      </c>
      <c r="AG21" s="4">
        <f>+AG15/AG5</f>
        <v>0.42457913397917307</v>
      </c>
      <c r="AH21" s="4">
        <f>+AH15/AH5</f>
        <v>0.20434715166556791</v>
      </c>
    </row>
    <row r="22" spans="2:34" s="4" customFormat="1" x14ac:dyDescent="0.2">
      <c r="B22" s="4" t="s">
        <v>25</v>
      </c>
      <c r="C22" s="4">
        <f t="shared" ref="C22:P22" si="19">+C14/C13</f>
        <v>3.2751091703056767E-3</v>
      </c>
      <c r="D22" s="4">
        <f t="shared" si="19"/>
        <v>-3.4516765285996054E-3</v>
      </c>
      <c r="E22" s="4">
        <f t="shared" si="19"/>
        <v>-6.7234424025100853E-2</v>
      </c>
      <c r="F22" s="4">
        <f t="shared" si="19"/>
        <v>6.7491563554555684E-2</v>
      </c>
      <c r="G22" s="4">
        <f t="shared" si="19"/>
        <v>6.9020866773675763E-2</v>
      </c>
      <c r="H22" s="4">
        <f t="shared" si="19"/>
        <v>6.0753341433778855E-2</v>
      </c>
      <c r="I22" s="4">
        <f t="shared" si="19"/>
        <v>7.1138761157695435E-2</v>
      </c>
      <c r="J22" s="4">
        <f t="shared" si="19"/>
        <v>6.6025803187452561E-2</v>
      </c>
      <c r="K22" s="4">
        <f t="shared" si="19"/>
        <v>1.627620221948212E-2</v>
      </c>
      <c r="L22" s="4">
        <f t="shared" si="19"/>
        <v>5.9343434343434344E-2</v>
      </c>
      <c r="M22" s="4">
        <f t="shared" si="19"/>
        <v>6.7547357926221338E-2</v>
      </c>
      <c r="N22" s="4">
        <f t="shared" si="19"/>
        <v>0.1055767397521449</v>
      </c>
      <c r="O22" s="4">
        <f t="shared" si="19"/>
        <v>2.6469443363176332E-2</v>
      </c>
      <c r="P22" s="4">
        <f t="shared" si="19"/>
        <v>-3.8195587751070133E-2</v>
      </c>
      <c r="Q22" s="4">
        <f t="shared" ref="Q22:R22" si="20">+Q14/Q13</f>
        <v>0.78163039468830686</v>
      </c>
      <c r="R22" s="4">
        <f t="shared" si="20"/>
        <v>-0.13562442467014421</v>
      </c>
      <c r="S22" s="4">
        <f t="shared" ref="S22" si="21">+S14/S13</f>
        <v>-2.1416803953871501E-3</v>
      </c>
      <c r="AD22" s="4">
        <f>+AD14/AD13</f>
        <v>-0.10711331679073614</v>
      </c>
      <c r="AE22" s="4">
        <f>+AE14/AE13</f>
        <v>3.3112582781456954E-3</v>
      </c>
      <c r="AF22" s="4">
        <f>+AF14/AF13</f>
        <v>6.6799459344099019E-2</v>
      </c>
      <c r="AG22" s="4">
        <f>+AG14/AG13</f>
        <v>6.2565493435246256E-2</v>
      </c>
      <c r="AH22" s="4">
        <f>+AH14/AH13</f>
        <v>0.26233638972492473</v>
      </c>
    </row>
    <row r="23" spans="2:34" s="4" customFormat="1" x14ac:dyDescent="0.2"/>
    <row r="24" spans="2:34" s="4" customFormat="1" x14ac:dyDescent="0.2">
      <c r="B24" s="4" t="s">
        <v>89</v>
      </c>
      <c r="C24" s="4">
        <f t="shared" ref="C24:S24" si="22">+C8/C5</f>
        <v>0.18196844477836213</v>
      </c>
      <c r="D24" s="4">
        <f t="shared" si="22"/>
        <v>0.18729198184568835</v>
      </c>
      <c r="E24" s="4">
        <f t="shared" si="22"/>
        <v>0.17778105635880792</v>
      </c>
      <c r="F24" s="4">
        <f t="shared" si="22"/>
        <v>0.16200891049007696</v>
      </c>
      <c r="G24" s="4">
        <f t="shared" si="22"/>
        <v>0.15650142745912277</v>
      </c>
      <c r="H24" s="4">
        <f t="shared" si="22"/>
        <v>0.15562137479945698</v>
      </c>
      <c r="I24" s="4">
        <f t="shared" si="22"/>
        <v>0.14827504725897919</v>
      </c>
      <c r="J24" s="4">
        <f t="shared" si="22"/>
        <v>0.13404255319148936</v>
      </c>
      <c r="K24" s="4">
        <f t="shared" si="22"/>
        <v>0.13404374649467191</v>
      </c>
      <c r="L24" s="4">
        <f t="shared" si="22"/>
        <v>0.15023474178403756</v>
      </c>
      <c r="M24" s="4">
        <f t="shared" si="22"/>
        <v>0.1529968454258675</v>
      </c>
      <c r="N24" s="4">
        <f t="shared" si="22"/>
        <v>0.14932759548144164</v>
      </c>
      <c r="O24" s="4">
        <f t="shared" si="22"/>
        <v>0.19296045481147062</v>
      </c>
      <c r="P24" s="4">
        <f t="shared" si="22"/>
        <v>0.19340113718266996</v>
      </c>
      <c r="Q24" s="4">
        <f t="shared" si="22"/>
        <v>0.18000305997552019</v>
      </c>
      <c r="R24" s="4">
        <f t="shared" si="22"/>
        <v>0.1589583036857834</v>
      </c>
      <c r="S24" s="4">
        <f t="shared" si="22"/>
        <v>0.1510458567980692</v>
      </c>
      <c r="AD24" s="4">
        <f t="shared" ref="AD24:AG24" si="23">+AD8/AD5</f>
        <v>0.20797052913596786</v>
      </c>
      <c r="AE24" s="4">
        <f t="shared" si="23"/>
        <v>0.17683060109289617</v>
      </c>
      <c r="AF24" s="4">
        <f t="shared" si="23"/>
        <v>0.14814926362075717</v>
      </c>
      <c r="AG24" s="4">
        <f t="shared" si="23"/>
        <v>0.14665401044138585</v>
      </c>
      <c r="AH24" s="4">
        <f>+AH8/AH5</f>
        <v>0.18051731492612558</v>
      </c>
    </row>
    <row r="25" spans="2:34" s="4" customFormat="1" x14ac:dyDescent="0.2"/>
    <row r="26" spans="2:34" s="5" customFormat="1" x14ac:dyDescent="0.2">
      <c r="B26" s="5" t="s">
        <v>26</v>
      </c>
      <c r="G26" s="5">
        <f t="shared" ref="G26:S26" si="24">+G5/C5-1</f>
        <v>0.15792637114951158</v>
      </c>
      <c r="H26" s="5">
        <f t="shared" si="24"/>
        <v>0.2258698940998487</v>
      </c>
      <c r="I26" s="5">
        <f t="shared" si="24"/>
        <v>0.24874594275597528</v>
      </c>
      <c r="J26" s="5">
        <f t="shared" si="24"/>
        <v>0.20561630889698934</v>
      </c>
      <c r="K26" s="5">
        <f t="shared" si="24"/>
        <v>0.15689073449260316</v>
      </c>
      <c r="L26" s="5">
        <f t="shared" si="24"/>
        <v>7.774898185857082E-2</v>
      </c>
      <c r="M26" s="5">
        <f t="shared" si="24"/>
        <v>4.8676748582230589E-2</v>
      </c>
      <c r="N26" s="5">
        <f t="shared" si="24"/>
        <v>4.0873460246360516E-2</v>
      </c>
      <c r="O26" s="5">
        <f t="shared" si="24"/>
        <v>0.34167134043746494</v>
      </c>
      <c r="P26" s="5">
        <f t="shared" si="24"/>
        <v>0.42986373525707089</v>
      </c>
      <c r="Q26" s="5">
        <f t="shared" si="24"/>
        <v>0.47273546642631814</v>
      </c>
      <c r="R26" s="5">
        <f t="shared" si="24"/>
        <v>0.51199569661108124</v>
      </c>
      <c r="S26" s="5">
        <f t="shared" si="24"/>
        <v>0.24705292199648854</v>
      </c>
      <c r="AD26" s="5" t="e">
        <f>+AD5/AC5-1</f>
        <v>#DIV/0!</v>
      </c>
      <c r="AE26" s="5">
        <f>+AE5/AD5-1</f>
        <v>0.14911252511721362</v>
      </c>
      <c r="AF26" s="5">
        <f>+AF5/AE5-1</f>
        <v>0.20958105646630232</v>
      </c>
      <c r="AG26" s="5">
        <f>+AG5/AF5-1</f>
        <v>7.8788061319760239E-2</v>
      </c>
      <c r="AH26" s="5">
        <f>+AH5/AG5-1</f>
        <v>0.43985035874815037</v>
      </c>
    </row>
    <row r="28" spans="2:34" x14ac:dyDescent="0.2">
      <c r="B28" s="1" t="s">
        <v>44</v>
      </c>
      <c r="K28" s="1">
        <f t="shared" ref="K28:P28" si="25">+K29-K38</f>
        <v>-26635</v>
      </c>
      <c r="L28" s="1">
        <f t="shared" si="25"/>
        <v>-27758</v>
      </c>
      <c r="M28" s="1">
        <f t="shared" si="25"/>
        <v>-27286</v>
      </c>
      <c r="N28" s="1">
        <f t="shared" si="25"/>
        <v>-25040</v>
      </c>
      <c r="O28" s="1">
        <f t="shared" si="25"/>
        <v>-64037</v>
      </c>
      <c r="P28" s="1">
        <f t="shared" si="25"/>
        <v>-64207</v>
      </c>
      <c r="Q28" s="1">
        <f t="shared" ref="Q28:R28" si="26">+Q29-Q38</f>
        <v>-60007</v>
      </c>
      <c r="R28" s="1">
        <f t="shared" si="26"/>
        <v>-60007</v>
      </c>
      <c r="S28" s="1">
        <f t="shared" ref="S28" si="27">+S29-S38</f>
        <v>-57272</v>
      </c>
    </row>
    <row r="29" spans="2:34" x14ac:dyDescent="0.2">
      <c r="B29" s="1" t="s">
        <v>3</v>
      </c>
      <c r="K29" s="1">
        <v>12647</v>
      </c>
      <c r="L29" s="1">
        <v>11553</v>
      </c>
      <c r="M29" s="1">
        <v>12055</v>
      </c>
      <c r="N29" s="1">
        <v>14189</v>
      </c>
      <c r="O29" s="1">
        <v>11864</v>
      </c>
      <c r="P29" s="1">
        <v>9809</v>
      </c>
      <c r="Q29" s="1">
        <v>9952</v>
      </c>
      <c r="R29" s="1">
        <v>9952</v>
      </c>
      <c r="S29" s="1">
        <v>9307</v>
      </c>
    </row>
    <row r="30" spans="2:34" x14ac:dyDescent="0.2">
      <c r="B30" s="1" t="s">
        <v>45</v>
      </c>
      <c r="K30" s="1">
        <v>3234</v>
      </c>
      <c r="L30" s="1">
        <v>3031</v>
      </c>
      <c r="M30" s="1">
        <v>2914</v>
      </c>
      <c r="N30" s="1">
        <v>3154</v>
      </c>
      <c r="O30" s="1">
        <v>4969</v>
      </c>
      <c r="P30" s="1">
        <v>5500</v>
      </c>
      <c r="Q30" s="1">
        <v>4665</v>
      </c>
      <c r="R30" s="1">
        <v>4665</v>
      </c>
      <c r="S30" s="1">
        <v>4955</v>
      </c>
    </row>
    <row r="31" spans="2:34" x14ac:dyDescent="0.2">
      <c r="B31" s="1" t="s">
        <v>46</v>
      </c>
      <c r="K31" s="1">
        <v>1899</v>
      </c>
      <c r="L31" s="1">
        <v>1886</v>
      </c>
      <c r="M31" s="1">
        <v>1842</v>
      </c>
      <c r="N31" s="1">
        <v>1898</v>
      </c>
      <c r="O31" s="1">
        <v>1920</v>
      </c>
      <c r="P31" s="1">
        <v>1842</v>
      </c>
      <c r="Q31" s="1">
        <v>1894</v>
      </c>
      <c r="R31" s="1">
        <v>1894</v>
      </c>
      <c r="S31" s="1">
        <v>1908</v>
      </c>
    </row>
    <row r="32" spans="2:34" x14ac:dyDescent="0.2">
      <c r="B32" s="1" t="s">
        <v>47</v>
      </c>
      <c r="K32" s="1">
        <v>2201</v>
      </c>
      <c r="L32" s="1">
        <v>2209</v>
      </c>
      <c r="M32" s="1">
        <v>2180</v>
      </c>
      <c r="N32" s="1">
        <v>2154</v>
      </c>
      <c r="O32" s="1">
        <v>2662</v>
      </c>
      <c r="P32" s="1">
        <v>2668</v>
      </c>
      <c r="Q32" s="1">
        <v>2602</v>
      </c>
      <c r="R32" s="1">
        <v>2602</v>
      </c>
      <c r="S32" s="1">
        <v>2465</v>
      </c>
    </row>
    <row r="33" spans="2:34" x14ac:dyDescent="0.2">
      <c r="B33" s="1" t="s">
        <v>48</v>
      </c>
      <c r="K33" s="1">
        <f>43614+6225</f>
        <v>49839</v>
      </c>
      <c r="L33" s="1">
        <f>43614+5434</f>
        <v>49048</v>
      </c>
      <c r="M33" s="1">
        <f>43619+4654</f>
        <v>48273</v>
      </c>
      <c r="N33" s="1">
        <f>43653+3867</f>
        <v>47520</v>
      </c>
      <c r="O33" s="1">
        <f>97586+47185</f>
        <v>144771</v>
      </c>
      <c r="P33" s="1">
        <f>97873+45407</f>
        <v>143280</v>
      </c>
      <c r="Q33" s="1">
        <f>97873+43034</f>
        <v>140907</v>
      </c>
      <c r="R33" s="1">
        <f>97873+43034</f>
        <v>140907</v>
      </c>
      <c r="S33" s="1">
        <f>97871+38583</f>
        <v>136454</v>
      </c>
    </row>
    <row r="34" spans="2:34" x14ac:dyDescent="0.2">
      <c r="B34" s="1" t="s">
        <v>52</v>
      </c>
      <c r="K34" s="1">
        <f>1056+2100</f>
        <v>3156</v>
      </c>
      <c r="L34" s="1">
        <f>1401+2539</f>
        <v>3940</v>
      </c>
      <c r="M34" s="1">
        <f>1522+2809</f>
        <v>4331</v>
      </c>
      <c r="N34" s="1">
        <f>1606+2340</f>
        <v>3946</v>
      </c>
      <c r="O34" s="1">
        <f>8439+3245</f>
        <v>11684</v>
      </c>
      <c r="P34" s="1">
        <f>8151+3961</f>
        <v>12112</v>
      </c>
      <c r="Q34" s="1">
        <f>3436+4510</f>
        <v>7946</v>
      </c>
      <c r="R34" s="1">
        <f>3436+4510</f>
        <v>7946</v>
      </c>
      <c r="S34" s="1">
        <f>5449+4820</f>
        <v>10269</v>
      </c>
    </row>
    <row r="35" spans="2:34" s="3" customFormat="1" x14ac:dyDescent="0.2">
      <c r="B35" s="3" t="s">
        <v>49</v>
      </c>
      <c r="K35" s="3">
        <f t="shared" ref="K35:P35" si="28">+SUM(K29:K34)</f>
        <v>72976</v>
      </c>
      <c r="L35" s="3">
        <f t="shared" si="28"/>
        <v>71667</v>
      </c>
      <c r="M35" s="3">
        <f t="shared" si="28"/>
        <v>71595</v>
      </c>
      <c r="N35" s="3">
        <f t="shared" si="28"/>
        <v>72861</v>
      </c>
      <c r="O35" s="3">
        <f t="shared" si="28"/>
        <v>177870</v>
      </c>
      <c r="P35" s="3">
        <f t="shared" si="28"/>
        <v>175211</v>
      </c>
      <c r="Q35" s="3">
        <f t="shared" ref="Q35:R35" si="29">+SUM(Q29:Q34)</f>
        <v>167966</v>
      </c>
      <c r="R35" s="3">
        <f t="shared" si="29"/>
        <v>167966</v>
      </c>
      <c r="S35" s="3">
        <f t="shared" ref="S35" si="30">+SUM(S29:S34)</f>
        <v>165358</v>
      </c>
    </row>
    <row r="36" spans="2:34" x14ac:dyDescent="0.2">
      <c r="B36" s="1" t="s">
        <v>50</v>
      </c>
      <c r="K36" s="1">
        <v>923</v>
      </c>
      <c r="L36" s="1">
        <v>831</v>
      </c>
      <c r="M36" s="1">
        <v>992</v>
      </c>
      <c r="N36" s="1">
        <v>1210</v>
      </c>
      <c r="O36" s="1">
        <v>1496</v>
      </c>
      <c r="P36" s="1">
        <v>1441</v>
      </c>
      <c r="Q36" s="1">
        <v>1757</v>
      </c>
      <c r="R36" s="1">
        <v>1757</v>
      </c>
      <c r="S36" s="1">
        <v>1905</v>
      </c>
    </row>
    <row r="37" spans="2:34" x14ac:dyDescent="0.2">
      <c r="B37" s="1" t="s">
        <v>51</v>
      </c>
      <c r="K37" s="1">
        <v>536</v>
      </c>
      <c r="L37" s="1">
        <v>634</v>
      </c>
      <c r="M37" s="1">
        <v>831</v>
      </c>
      <c r="N37" s="1">
        <v>935</v>
      </c>
      <c r="O37" s="1">
        <v>1128</v>
      </c>
      <c r="P37" s="1">
        <v>1385</v>
      </c>
      <c r="Q37" s="1">
        <v>1725</v>
      </c>
      <c r="R37" s="1">
        <v>1725</v>
      </c>
      <c r="S37" s="1">
        <v>922</v>
      </c>
    </row>
    <row r="38" spans="2:34" x14ac:dyDescent="0.2">
      <c r="B38" s="1" t="s">
        <v>4</v>
      </c>
      <c r="K38" s="1">
        <f>1115+38167</f>
        <v>39282</v>
      </c>
      <c r="L38" s="1">
        <f>1117+38194</f>
        <v>39311</v>
      </c>
      <c r="M38" s="1">
        <f>1119+38222</f>
        <v>39341</v>
      </c>
      <c r="N38" s="1">
        <f>1608+37621</f>
        <v>39229</v>
      </c>
      <c r="O38" s="1">
        <f>2433+73468</f>
        <v>75901</v>
      </c>
      <c r="P38" s="1">
        <f>2426+71590</f>
        <v>74016</v>
      </c>
      <c r="Q38" s="1">
        <f>3161+66798</f>
        <v>69959</v>
      </c>
      <c r="R38" s="1">
        <f>3161+66798</f>
        <v>69959</v>
      </c>
      <c r="S38" s="1">
        <f>5653+60926</f>
        <v>66579</v>
      </c>
    </row>
    <row r="39" spans="2:34" x14ac:dyDescent="0.2">
      <c r="B39" s="1" t="s">
        <v>52</v>
      </c>
      <c r="K39" s="1">
        <f>4909+4016</f>
        <v>8925</v>
      </c>
      <c r="L39" s="1">
        <f>4929+3955</f>
        <v>8884</v>
      </c>
      <c r="M39" s="1">
        <f>4403+3949</f>
        <v>8352</v>
      </c>
      <c r="N39" s="1">
        <f>3652+3847</f>
        <v>7499</v>
      </c>
      <c r="O39" s="1">
        <f>15312+13749</f>
        <v>29061</v>
      </c>
      <c r="P39" s="1">
        <f>14919+13489</f>
        <v>28408</v>
      </c>
      <c r="Q39" s="1">
        <f>12578+16296</f>
        <v>28874</v>
      </c>
      <c r="R39" s="1">
        <f>12578+16296</f>
        <v>28874</v>
      </c>
      <c r="S39" s="1">
        <f>12430+13733</f>
        <v>26163</v>
      </c>
    </row>
    <row r="40" spans="2:34" s="3" customFormat="1" x14ac:dyDescent="0.2">
      <c r="B40" s="3" t="s">
        <v>53</v>
      </c>
      <c r="K40" s="3">
        <f t="shared" ref="K40:P40" si="31">+SUM(K36:K39)</f>
        <v>49666</v>
      </c>
      <c r="L40" s="3">
        <f t="shared" si="31"/>
        <v>49660</v>
      </c>
      <c r="M40" s="3">
        <f t="shared" si="31"/>
        <v>49516</v>
      </c>
      <c r="N40" s="3">
        <f t="shared" si="31"/>
        <v>48873</v>
      </c>
      <c r="O40" s="3">
        <f t="shared" si="31"/>
        <v>107586</v>
      </c>
      <c r="P40" s="3">
        <f t="shared" si="31"/>
        <v>105250</v>
      </c>
      <c r="Q40" s="3">
        <f t="shared" ref="Q40:R40" si="32">+SUM(Q36:Q39)</f>
        <v>102315</v>
      </c>
      <c r="R40" s="3">
        <f t="shared" si="32"/>
        <v>102315</v>
      </c>
      <c r="S40" s="3">
        <f t="shared" ref="S40" si="33">+SUM(S36:S39)</f>
        <v>95569</v>
      </c>
    </row>
    <row r="41" spans="2:34" x14ac:dyDescent="0.2">
      <c r="B41" s="1" t="s">
        <v>54</v>
      </c>
      <c r="K41" s="1">
        <v>23310</v>
      </c>
      <c r="L41" s="1">
        <v>22007</v>
      </c>
      <c r="M41" s="1">
        <v>70284</v>
      </c>
      <c r="N41" s="1">
        <v>70284</v>
      </c>
      <c r="O41" s="1">
        <v>70284</v>
      </c>
      <c r="P41" s="1">
        <v>69961</v>
      </c>
      <c r="Q41" s="1">
        <v>69961</v>
      </c>
      <c r="R41" s="1">
        <v>69961</v>
      </c>
      <c r="S41" s="1">
        <v>69789</v>
      </c>
    </row>
    <row r="42" spans="2:34" x14ac:dyDescent="0.2">
      <c r="B42" s="1" t="s">
        <v>55</v>
      </c>
      <c r="K42" s="1">
        <f t="shared" ref="K42:P42" si="34">+K41+K40</f>
        <v>72976</v>
      </c>
      <c r="L42" s="1">
        <f t="shared" si="34"/>
        <v>71667</v>
      </c>
      <c r="M42" s="1">
        <f t="shared" si="34"/>
        <v>119800</v>
      </c>
      <c r="N42" s="1">
        <f t="shared" si="34"/>
        <v>119157</v>
      </c>
      <c r="O42" s="1">
        <f t="shared" si="34"/>
        <v>177870</v>
      </c>
      <c r="P42" s="1">
        <f t="shared" si="34"/>
        <v>175211</v>
      </c>
      <c r="Q42" s="1">
        <f t="shared" ref="Q42:R42" si="35">+Q41+Q40</f>
        <v>172276</v>
      </c>
      <c r="R42" s="1">
        <f t="shared" si="35"/>
        <v>172276</v>
      </c>
      <c r="S42" s="1">
        <f t="shared" ref="S42" si="36">+S41+S40</f>
        <v>165358</v>
      </c>
    </row>
    <row r="44" spans="2:34" x14ac:dyDescent="0.2">
      <c r="B44" s="1" t="s">
        <v>96</v>
      </c>
      <c r="K44" s="1">
        <f t="shared" ref="K44:S44" si="37">+SUM(H15:K15)</f>
        <v>14207</v>
      </c>
      <c r="L44" s="1">
        <f t="shared" si="37"/>
        <v>14840</v>
      </c>
      <c r="M44" s="1">
        <f t="shared" si="37"/>
        <v>15147</v>
      </c>
      <c r="N44" s="1">
        <f t="shared" si="37"/>
        <v>15208</v>
      </c>
      <c r="O44" s="1">
        <f t="shared" si="37"/>
        <v>13720</v>
      </c>
      <c r="P44" s="1">
        <f t="shared" si="37"/>
        <v>13148</v>
      </c>
      <c r="Q44" s="1">
        <f t="shared" si="37"/>
        <v>10591</v>
      </c>
      <c r="R44" s="1">
        <f t="shared" si="37"/>
        <v>10539</v>
      </c>
      <c r="S44" s="1">
        <f t="shared" si="37"/>
        <v>14121</v>
      </c>
    </row>
    <row r="45" spans="2:34" s="4" customFormat="1" x14ac:dyDescent="0.2">
      <c r="B45" s="4" t="s">
        <v>97</v>
      </c>
      <c r="K45" s="4">
        <f t="shared" ref="K45:N45" si="38">+K44/(K30+K31+K32+K34)</f>
        <v>1.3543374642516683</v>
      </c>
      <c r="L45" s="4">
        <f t="shared" si="38"/>
        <v>1.3410446412434485</v>
      </c>
      <c r="M45" s="4">
        <f t="shared" si="38"/>
        <v>1.3443685098074021</v>
      </c>
      <c r="N45" s="4">
        <f t="shared" si="38"/>
        <v>1.3637015781922526</v>
      </c>
      <c r="O45" s="4">
        <f>+O44/(O30+O31+O32+O34)</f>
        <v>0.64610313162232169</v>
      </c>
      <c r="P45" s="4">
        <f>+P44/(P30+P31+P32+P34)</f>
        <v>0.59434047554470659</v>
      </c>
      <c r="Q45" s="4">
        <f>+Q44/(Q30+Q31+Q32+Q34)</f>
        <v>0.61910329105044715</v>
      </c>
      <c r="R45" s="4">
        <f>+R44/(R30+R31+R32+R34)</f>
        <v>0.61606359969603086</v>
      </c>
      <c r="S45" s="4">
        <f>+S44/(S30+S31+S32+S34)</f>
        <v>0.72056947491963053</v>
      </c>
    </row>
    <row r="47" spans="2:34" x14ac:dyDescent="0.2">
      <c r="B47" s="1" t="s">
        <v>56</v>
      </c>
      <c r="K47" s="1">
        <f t="shared" ref="K47:S47" si="39">+K15</f>
        <v>3989</v>
      </c>
      <c r="L47" s="1">
        <f t="shared" si="39"/>
        <v>3725</v>
      </c>
      <c r="M47" s="1">
        <f t="shared" si="39"/>
        <v>3741</v>
      </c>
      <c r="N47" s="1">
        <f t="shared" si="39"/>
        <v>3753</v>
      </c>
      <c r="O47" s="1">
        <f t="shared" si="39"/>
        <v>2501</v>
      </c>
      <c r="P47" s="1">
        <f t="shared" si="39"/>
        <v>3153</v>
      </c>
      <c r="Q47" s="1">
        <f t="shared" si="39"/>
        <v>1184</v>
      </c>
      <c r="R47" s="1">
        <f t="shared" si="39"/>
        <v>3701</v>
      </c>
      <c r="S47" s="1">
        <f t="shared" si="39"/>
        <v>6083</v>
      </c>
      <c r="AH47" s="1">
        <f>+AH15</f>
        <v>10539</v>
      </c>
    </row>
    <row r="48" spans="2:34" x14ac:dyDescent="0.2">
      <c r="B48" s="1" t="s">
        <v>57</v>
      </c>
      <c r="K48" s="1">
        <v>3774</v>
      </c>
      <c r="L48" s="1">
        <v>3481</v>
      </c>
      <c r="M48" s="1">
        <v>3303</v>
      </c>
      <c r="N48" s="1">
        <v>3524</v>
      </c>
      <c r="O48" s="1">
        <v>1325</v>
      </c>
      <c r="P48" s="1">
        <v>2121</v>
      </c>
      <c r="Q48" s="1">
        <v>-1875</v>
      </c>
      <c r="R48" s="1">
        <f t="shared" ref="R48:R55" si="40">+AH48-SUM(O48:Q48)</f>
        <v>4324</v>
      </c>
      <c r="S48" s="1">
        <v>5503</v>
      </c>
      <c r="AH48" s="1">
        <v>5895</v>
      </c>
    </row>
    <row r="49" spans="2:34" x14ac:dyDescent="0.2">
      <c r="B49" s="1" t="s">
        <v>58</v>
      </c>
      <c r="K49" s="1">
        <f>905+127</f>
        <v>1032</v>
      </c>
      <c r="L49" s="1">
        <f>810+129</f>
        <v>939</v>
      </c>
      <c r="M49" s="1">
        <f>810+122</f>
        <v>932</v>
      </c>
      <c r="N49" s="1">
        <f>808+124</f>
        <v>932</v>
      </c>
      <c r="O49" s="1">
        <f>2206+139</f>
        <v>2345</v>
      </c>
      <c r="P49" s="1">
        <f>2381+149</f>
        <v>2530</v>
      </c>
      <c r="Q49" s="1">
        <f>2375+149</f>
        <v>2524</v>
      </c>
      <c r="R49" s="1">
        <f t="shared" si="40"/>
        <v>2611</v>
      </c>
      <c r="S49" s="1">
        <f>2032+142</f>
        <v>2174</v>
      </c>
      <c r="AH49" s="1">
        <f>9417+593</f>
        <v>10010</v>
      </c>
    </row>
    <row r="50" spans="2:34" x14ac:dyDescent="0.2">
      <c r="B50" s="1" t="s">
        <v>59</v>
      </c>
      <c r="J50" s="8"/>
      <c r="K50" s="1">
        <v>391</v>
      </c>
      <c r="L50" s="1">
        <v>513</v>
      </c>
      <c r="M50" s="1">
        <v>629</v>
      </c>
      <c r="N50" s="1">
        <v>638</v>
      </c>
      <c r="O50" s="1">
        <v>1582</v>
      </c>
      <c r="P50" s="1">
        <v>1457</v>
      </c>
      <c r="Q50" s="1">
        <v>1388</v>
      </c>
      <c r="R50" s="1">
        <f t="shared" si="40"/>
        <v>1314</v>
      </c>
      <c r="S50" s="1">
        <v>1280</v>
      </c>
      <c r="AH50" s="1">
        <v>5741</v>
      </c>
    </row>
    <row r="51" spans="2:34" x14ac:dyDescent="0.2">
      <c r="B51" s="1" t="s">
        <v>60</v>
      </c>
      <c r="K51" s="1">
        <v>-573</v>
      </c>
      <c r="L51" s="1">
        <v>-316</v>
      </c>
      <c r="M51" s="1">
        <v>-251</v>
      </c>
      <c r="N51" s="1">
        <v>639</v>
      </c>
      <c r="O51" s="1">
        <v>-294</v>
      </c>
      <c r="P51" s="1">
        <v>-511</v>
      </c>
      <c r="Q51" s="1">
        <v>3638</v>
      </c>
      <c r="R51" s="1">
        <f t="shared" si="40"/>
        <v>-868</v>
      </c>
      <c r="S51" s="1">
        <v>-696</v>
      </c>
      <c r="AH51" s="1">
        <v>1965</v>
      </c>
    </row>
    <row r="52" spans="2:34" x14ac:dyDescent="0.2">
      <c r="B52" s="1" t="s">
        <v>87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83</v>
      </c>
      <c r="R52" s="1">
        <f t="shared" si="40"/>
        <v>64</v>
      </c>
      <c r="S52" s="1">
        <v>65</v>
      </c>
      <c r="AH52" s="1">
        <v>147</v>
      </c>
    </row>
    <row r="53" spans="2:34" x14ac:dyDescent="0.2">
      <c r="B53" s="1" t="s">
        <v>16</v>
      </c>
      <c r="K53" s="1">
        <v>32</v>
      </c>
      <c r="L53" s="1">
        <v>33</v>
      </c>
      <c r="M53" s="1">
        <v>33</v>
      </c>
      <c r="N53" s="1">
        <v>34</v>
      </c>
      <c r="O53" s="1">
        <v>102</v>
      </c>
      <c r="P53" s="1">
        <v>119</v>
      </c>
      <c r="Q53" s="1">
        <v>115</v>
      </c>
      <c r="R53" s="1">
        <f t="shared" si="40"/>
        <v>91</v>
      </c>
      <c r="S53" s="1">
        <v>97</v>
      </c>
      <c r="AH53" s="1">
        <v>427</v>
      </c>
    </row>
    <row r="54" spans="2:34" x14ac:dyDescent="0.2">
      <c r="B54" s="1" t="s">
        <v>52</v>
      </c>
      <c r="K54" s="1">
        <v>-39</v>
      </c>
      <c r="L54" s="1">
        <v>21</v>
      </c>
      <c r="M54" s="1">
        <v>0</v>
      </c>
      <c r="N54" s="1">
        <v>27</v>
      </c>
      <c r="O54" s="1">
        <v>38</v>
      </c>
      <c r="P54" s="1">
        <v>92</v>
      </c>
      <c r="Q54" s="1">
        <v>158</v>
      </c>
      <c r="R54" s="1">
        <f t="shared" si="40"/>
        <v>116</v>
      </c>
      <c r="S54" s="1">
        <v>41</v>
      </c>
      <c r="AH54" s="1">
        <v>404</v>
      </c>
    </row>
    <row r="55" spans="2:34" x14ac:dyDescent="0.2">
      <c r="B55" s="1" t="s">
        <v>61</v>
      </c>
      <c r="K55" s="1">
        <f>-276+26-80-657+570-164</f>
        <v>-581</v>
      </c>
      <c r="L55" s="1">
        <f>185+13-114+91-165-179</f>
        <v>-169</v>
      </c>
      <c r="M55" s="1">
        <f>135+44+188+184-339-139</f>
        <v>73</v>
      </c>
      <c r="N55" s="1">
        <f>+-231-56+215+103-694-303</f>
        <v>-966</v>
      </c>
      <c r="O55" s="1">
        <f>1756-14-74-660-2182+891</f>
        <v>-283</v>
      </c>
      <c r="P55" s="1">
        <f>+-513+82-93+251-386-569</f>
        <v>-1228</v>
      </c>
      <c r="Q55" s="1">
        <f>835-52+373+291-1345-1170</f>
        <v>-1068</v>
      </c>
      <c r="R55" s="1">
        <f t="shared" si="40"/>
        <v>-2058</v>
      </c>
      <c r="S55" s="1">
        <f>-539-148+241-908+26-1023</f>
        <v>-2351</v>
      </c>
      <c r="AH55" s="1">
        <f>2327+150+121+78-5323-1990</f>
        <v>-4637</v>
      </c>
    </row>
    <row r="56" spans="2:34" s="3" customFormat="1" x14ac:dyDescent="0.2">
      <c r="B56" s="3" t="s">
        <v>62</v>
      </c>
      <c r="K56" s="3">
        <f t="shared" ref="K56:P56" si="41">+SUM(K48:K55)</f>
        <v>4036</v>
      </c>
      <c r="L56" s="3">
        <f t="shared" si="41"/>
        <v>4502</v>
      </c>
      <c r="M56" s="3">
        <f t="shared" si="41"/>
        <v>4719</v>
      </c>
      <c r="N56" s="3">
        <f t="shared" si="41"/>
        <v>4828</v>
      </c>
      <c r="O56" s="3">
        <f>+SUM(O48:O55)</f>
        <v>4815</v>
      </c>
      <c r="P56" s="3">
        <f t="shared" si="41"/>
        <v>4580</v>
      </c>
      <c r="Q56" s="3">
        <f>+SUM(Q48:Q55)</f>
        <v>4963</v>
      </c>
      <c r="R56" s="3">
        <f>+SUM(R48:R55)</f>
        <v>5594</v>
      </c>
      <c r="S56" s="3">
        <f>+SUM(S48:S55)</f>
        <v>6113</v>
      </c>
      <c r="AH56" s="3">
        <f>+SUM(AH48:AH55)</f>
        <v>19952</v>
      </c>
    </row>
    <row r="58" spans="2:34" x14ac:dyDescent="0.2">
      <c r="B58" s="1" t="s">
        <v>63</v>
      </c>
      <c r="K58" s="1">
        <v>0</v>
      </c>
      <c r="L58" s="1">
        <v>0</v>
      </c>
      <c r="M58" s="1">
        <v>-17</v>
      </c>
      <c r="N58" s="1">
        <v>-36</v>
      </c>
      <c r="O58" s="1">
        <v>-25416</v>
      </c>
      <c r="P58" s="1">
        <v>-560</v>
      </c>
      <c r="Q58" s="1">
        <v>-2</v>
      </c>
      <c r="R58" s="1">
        <f>+AH58-SUM(O58:Q58)</f>
        <v>0</v>
      </c>
      <c r="S58" s="1">
        <v>0</v>
      </c>
      <c r="AH58" s="1">
        <v>-25978</v>
      </c>
    </row>
    <row r="59" spans="2:34" x14ac:dyDescent="0.2">
      <c r="B59" s="1" t="s">
        <v>88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3485</v>
      </c>
      <c r="R59" s="1">
        <f>+AH59-SUM(O59:Q59)</f>
        <v>0</v>
      </c>
      <c r="S59" s="1">
        <v>0</v>
      </c>
      <c r="AH59" s="1">
        <v>3485</v>
      </c>
    </row>
    <row r="60" spans="2:34" x14ac:dyDescent="0.2">
      <c r="B60" s="1" t="s">
        <v>64</v>
      </c>
      <c r="K60" s="1">
        <v>-103</v>
      </c>
      <c r="L60" s="1">
        <v>-122</v>
      </c>
      <c r="M60" s="1">
        <v>-122</v>
      </c>
      <c r="N60" s="1">
        <v>-105</v>
      </c>
      <c r="O60" s="1">
        <v>-122</v>
      </c>
      <c r="P60" s="1">
        <v>-132</v>
      </c>
      <c r="Q60" s="1">
        <v>-172</v>
      </c>
      <c r="R60" s="1">
        <f>+AH60-SUM(O60:Q60)</f>
        <v>-122</v>
      </c>
      <c r="S60" s="1">
        <v>-100</v>
      </c>
      <c r="AH60" s="1">
        <v>-548</v>
      </c>
    </row>
    <row r="61" spans="2:34" x14ac:dyDescent="0.2">
      <c r="B61" s="1" t="s">
        <v>65</v>
      </c>
      <c r="K61" s="1">
        <v>0</v>
      </c>
      <c r="L61" s="1">
        <v>-197</v>
      </c>
      <c r="M61" s="1">
        <f>-91+74</f>
        <v>-17</v>
      </c>
      <c r="N61" s="1">
        <f>+-58+154</f>
        <v>96</v>
      </c>
      <c r="O61" s="1">
        <f>+-13+89</f>
        <v>76</v>
      </c>
      <c r="P61" s="1">
        <f>-59+42</f>
        <v>-17</v>
      </c>
      <c r="Q61" s="1">
        <f>-73+5</f>
        <v>-68</v>
      </c>
      <c r="R61" s="1">
        <f>+AH61-SUM(O61:Q61)</f>
        <v>-10</v>
      </c>
      <c r="S61" s="1">
        <f>-105+18</f>
        <v>-87</v>
      </c>
      <c r="AH61" s="1">
        <f>-175+156</f>
        <v>-19</v>
      </c>
    </row>
    <row r="62" spans="2:34" x14ac:dyDescent="0.2">
      <c r="B62" s="1" t="s">
        <v>52</v>
      </c>
      <c r="K62" s="1">
        <v>0</v>
      </c>
      <c r="L62" s="1">
        <v>1</v>
      </c>
      <c r="M62" s="1">
        <v>12</v>
      </c>
      <c r="N62" s="1">
        <v>-79</v>
      </c>
      <c r="O62" s="1">
        <v>-15</v>
      </c>
      <c r="P62" s="1">
        <v>3</v>
      </c>
      <c r="Q62" s="1">
        <v>2</v>
      </c>
      <c r="R62" s="1">
        <f>+AH62-SUM(O62:Q62)</f>
        <v>0</v>
      </c>
      <c r="S62" s="1">
        <v>13</v>
      </c>
      <c r="AH62" s="1">
        <v>-10</v>
      </c>
    </row>
    <row r="63" spans="2:34" x14ac:dyDescent="0.2">
      <c r="B63" s="1" t="s">
        <v>66</v>
      </c>
      <c r="K63" s="1">
        <f t="shared" ref="K63:R63" si="42">+SUM(K58:K62)</f>
        <v>-103</v>
      </c>
      <c r="L63" s="1">
        <f t="shared" si="42"/>
        <v>-318</v>
      </c>
      <c r="M63" s="1">
        <f t="shared" si="42"/>
        <v>-144</v>
      </c>
      <c r="N63" s="1">
        <f t="shared" si="42"/>
        <v>-124</v>
      </c>
      <c r="O63" s="1">
        <f t="shared" si="42"/>
        <v>-25477</v>
      </c>
      <c r="P63" s="1">
        <f t="shared" si="42"/>
        <v>-706</v>
      </c>
      <c r="Q63" s="1">
        <f t="shared" si="42"/>
        <v>3245</v>
      </c>
      <c r="R63" s="1">
        <f t="shared" si="42"/>
        <v>-132</v>
      </c>
      <c r="S63" s="1">
        <f t="shared" ref="S63" si="43">+SUM(S58:S62)</f>
        <v>-174</v>
      </c>
      <c r="AH63" s="1">
        <f>+SUM(AH58:AH62)</f>
        <v>-23070</v>
      </c>
    </row>
    <row r="65" spans="2:34" x14ac:dyDescent="0.2">
      <c r="B65" s="1" t="s">
        <v>4</v>
      </c>
      <c r="K65" s="1">
        <v>-260</v>
      </c>
      <c r="L65" s="1">
        <v>0</v>
      </c>
      <c r="M65" s="1">
        <v>0</v>
      </c>
      <c r="N65" s="1">
        <v>-143</v>
      </c>
      <c r="O65" s="1">
        <f>-934+30010</f>
        <v>29076</v>
      </c>
      <c r="P65" s="1">
        <v>-2000</v>
      </c>
      <c r="Q65" s="1">
        <f>-9202+4975</f>
        <v>-4227</v>
      </c>
      <c r="R65" s="1">
        <f t="shared" ref="R65:R71" si="44">+AH65-SUM(O65:Q65)</f>
        <v>-2503</v>
      </c>
      <c r="S65" s="1">
        <f>-8090+3980+2986</f>
        <v>-1124</v>
      </c>
      <c r="AH65" s="1">
        <f>-19608+39954</f>
        <v>20346</v>
      </c>
    </row>
    <row r="66" spans="2:34" x14ac:dyDescent="0.2">
      <c r="B66" s="1" t="s">
        <v>67</v>
      </c>
      <c r="K66" s="1">
        <v>-1926</v>
      </c>
      <c r="L66" s="1">
        <v>-1914</v>
      </c>
      <c r="M66" s="1">
        <v>-1901</v>
      </c>
      <c r="N66" s="1">
        <v>-1904</v>
      </c>
      <c r="O66" s="1">
        <v>-2435</v>
      </c>
      <c r="P66" s="1">
        <v>-2443</v>
      </c>
      <c r="Q66" s="1">
        <v>-2452</v>
      </c>
      <c r="R66" s="1">
        <f t="shared" si="44"/>
        <v>-2484</v>
      </c>
      <c r="AH66" s="1">
        <v>-9814</v>
      </c>
    </row>
    <row r="67" spans="2:34" x14ac:dyDescent="0.2">
      <c r="B67" s="1" t="s">
        <v>68</v>
      </c>
      <c r="K67" s="1">
        <v>-1188</v>
      </c>
      <c r="L67" s="1">
        <v>-2806</v>
      </c>
      <c r="M67" s="1">
        <v>-1707</v>
      </c>
      <c r="N67" s="1">
        <v>-123</v>
      </c>
      <c r="O67" s="1">
        <v>-7176</v>
      </c>
      <c r="P67" s="1">
        <v>0</v>
      </c>
      <c r="Q67" s="1">
        <v>0</v>
      </c>
      <c r="R67" s="1">
        <f t="shared" si="44"/>
        <v>0</v>
      </c>
      <c r="AH67" s="1">
        <v>-7176</v>
      </c>
    </row>
    <row r="68" spans="2:34" x14ac:dyDescent="0.2">
      <c r="B68" s="1" t="s">
        <v>95</v>
      </c>
      <c r="K68" s="1">
        <v>-333</v>
      </c>
      <c r="L68" s="1">
        <v>-614</v>
      </c>
      <c r="M68" s="1">
        <v>-460</v>
      </c>
      <c r="N68" s="1">
        <v>-454</v>
      </c>
      <c r="O68" s="1">
        <v>-1114</v>
      </c>
      <c r="P68" s="1">
        <v>-1548</v>
      </c>
      <c r="Q68" s="1">
        <v>-1350</v>
      </c>
      <c r="R68" s="1">
        <f t="shared" si="44"/>
        <v>-1204</v>
      </c>
      <c r="S68" s="1">
        <v>-1114</v>
      </c>
      <c r="AH68" s="1">
        <v>-5216</v>
      </c>
    </row>
    <row r="69" spans="2:34" x14ac:dyDescent="0.2">
      <c r="B69" s="1" t="s">
        <v>69</v>
      </c>
      <c r="K69" s="1">
        <v>0</v>
      </c>
      <c r="L69" s="1">
        <v>63</v>
      </c>
      <c r="M69" s="1">
        <v>0</v>
      </c>
      <c r="N69" s="1">
        <v>59</v>
      </c>
      <c r="O69" s="1">
        <v>0</v>
      </c>
      <c r="P69" s="1">
        <v>64</v>
      </c>
      <c r="Q69" s="1">
        <v>0</v>
      </c>
      <c r="R69" s="1">
        <f t="shared" si="44"/>
        <v>126</v>
      </c>
      <c r="S69" s="1">
        <v>0</v>
      </c>
      <c r="AH69" s="1">
        <v>190</v>
      </c>
    </row>
    <row r="70" spans="2:34" x14ac:dyDescent="0.2">
      <c r="B70" s="1" t="s">
        <v>52</v>
      </c>
      <c r="K70" s="1">
        <v>5</v>
      </c>
      <c r="L70" s="1">
        <v>-7</v>
      </c>
      <c r="M70" s="1">
        <v>-5</v>
      </c>
      <c r="N70" s="1">
        <v>-5</v>
      </c>
      <c r="O70" s="1">
        <v>-14</v>
      </c>
      <c r="P70" s="1">
        <v>-2</v>
      </c>
      <c r="Q70" s="1">
        <v>-36</v>
      </c>
      <c r="R70" s="1">
        <f t="shared" si="44"/>
        <v>-11</v>
      </c>
      <c r="S70" s="1">
        <v>-14</v>
      </c>
      <c r="AH70" s="1">
        <v>-63</v>
      </c>
    </row>
    <row r="71" spans="2:34" x14ac:dyDescent="0.2">
      <c r="B71" s="1" t="s">
        <v>70</v>
      </c>
      <c r="K71" s="1">
        <f t="shared" ref="K71:Q71" si="45">+SUM(K65:K70)</f>
        <v>-3702</v>
      </c>
      <c r="L71" s="1">
        <f t="shared" si="45"/>
        <v>-5278</v>
      </c>
      <c r="M71" s="1">
        <f t="shared" si="45"/>
        <v>-4073</v>
      </c>
      <c r="N71" s="1">
        <f t="shared" si="45"/>
        <v>-2570</v>
      </c>
      <c r="O71" s="1">
        <f t="shared" si="45"/>
        <v>18337</v>
      </c>
      <c r="P71" s="1">
        <f t="shared" si="45"/>
        <v>-5929</v>
      </c>
      <c r="Q71" s="1">
        <f t="shared" si="45"/>
        <v>-8065</v>
      </c>
      <c r="R71" s="1">
        <f t="shared" si="44"/>
        <v>-6076</v>
      </c>
      <c r="S71" s="1">
        <f>+SUM(S65:S70)</f>
        <v>-2252</v>
      </c>
      <c r="AH71" s="1">
        <f>+SUM(AH65:AH70)</f>
        <v>-1733</v>
      </c>
    </row>
    <row r="72" spans="2:34" x14ac:dyDescent="0.2">
      <c r="B72" s="1" t="s">
        <v>71</v>
      </c>
      <c r="K72" s="1">
        <f t="shared" ref="K72:S72" si="46">+K56+K63+K71</f>
        <v>231</v>
      </c>
      <c r="L72" s="1">
        <f t="shared" si="46"/>
        <v>-1094</v>
      </c>
      <c r="M72" s="1">
        <f t="shared" si="46"/>
        <v>502</v>
      </c>
      <c r="N72" s="1">
        <f t="shared" si="46"/>
        <v>2134</v>
      </c>
      <c r="O72" s="1">
        <f t="shared" si="46"/>
        <v>-2325</v>
      </c>
      <c r="P72" s="1">
        <f t="shared" si="46"/>
        <v>-2055</v>
      </c>
      <c r="Q72" s="1">
        <f t="shared" si="46"/>
        <v>143</v>
      </c>
      <c r="R72" s="1">
        <f t="shared" si="46"/>
        <v>-614</v>
      </c>
      <c r="S72" s="1">
        <f t="shared" si="46"/>
        <v>3687</v>
      </c>
      <c r="AH72" s="1">
        <f>+AH56+AH63+AH71</f>
        <v>-4851</v>
      </c>
    </row>
    <row r="74" spans="2:34" x14ac:dyDescent="0.2">
      <c r="B74" s="1" t="s">
        <v>77</v>
      </c>
      <c r="K74" s="1">
        <f t="shared" ref="K74:S74" si="47">+K56+K60</f>
        <v>3933</v>
      </c>
      <c r="L74" s="1">
        <f t="shared" si="47"/>
        <v>4380</v>
      </c>
      <c r="M74" s="1">
        <f t="shared" si="47"/>
        <v>4597</v>
      </c>
      <c r="N74" s="1">
        <f t="shared" si="47"/>
        <v>4723</v>
      </c>
      <c r="O74" s="1">
        <f t="shared" si="47"/>
        <v>4693</v>
      </c>
      <c r="P74" s="1">
        <f t="shared" si="47"/>
        <v>4448</v>
      </c>
      <c r="Q74" s="1">
        <f t="shared" si="47"/>
        <v>4791</v>
      </c>
      <c r="R74" s="1">
        <f t="shared" si="47"/>
        <v>5472</v>
      </c>
      <c r="S74" s="1">
        <f t="shared" si="47"/>
        <v>6013</v>
      </c>
      <c r="AH74" s="1">
        <f>+AH56+AH60</f>
        <v>19404</v>
      </c>
    </row>
    <row r="75" spans="2:34" x14ac:dyDescent="0.2">
      <c r="B75" s="1" t="s">
        <v>72</v>
      </c>
      <c r="K75" s="1">
        <f t="shared" ref="K75:S75" si="48">+K56+K60-K50</f>
        <v>3542</v>
      </c>
      <c r="L75" s="1">
        <f t="shared" si="48"/>
        <v>3867</v>
      </c>
      <c r="M75" s="1">
        <f t="shared" si="48"/>
        <v>3968</v>
      </c>
      <c r="N75" s="1">
        <f t="shared" si="48"/>
        <v>4085</v>
      </c>
      <c r="O75" s="1">
        <f t="shared" si="48"/>
        <v>3111</v>
      </c>
      <c r="P75" s="1">
        <f t="shared" si="48"/>
        <v>2991</v>
      </c>
      <c r="Q75" s="1">
        <f t="shared" si="48"/>
        <v>3403</v>
      </c>
      <c r="R75" s="1">
        <f t="shared" si="48"/>
        <v>4158</v>
      </c>
      <c r="S75" s="1">
        <f t="shared" si="48"/>
        <v>4733</v>
      </c>
      <c r="AH75" s="1">
        <f>+AH56+AH60-AH50</f>
        <v>13663</v>
      </c>
    </row>
    <row r="76" spans="2:34" x14ac:dyDescent="0.2">
      <c r="B76" s="9" t="s">
        <v>76</v>
      </c>
      <c r="N76" s="1">
        <f t="shared" ref="N76:O76" si="49">+SUM(K75:N75)</f>
        <v>15462</v>
      </c>
      <c r="O76" s="1">
        <f t="shared" si="49"/>
        <v>15031</v>
      </c>
      <c r="P76" s="1">
        <f>+SUM(M75:P75)</f>
        <v>14155</v>
      </c>
      <c r="Q76" s="1">
        <f>+SUM(N75:Q75)</f>
        <v>13590</v>
      </c>
      <c r="R76" s="1">
        <f>+SUM(O75:R75)</f>
        <v>13663</v>
      </c>
      <c r="S76" s="1">
        <f t="shared" ref="S76" si="50">+SUM(P75:S75)</f>
        <v>15285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63BB-4015-4E9C-B3CA-A41F77F411B9}">
  <dimension ref="B1:AM30"/>
  <sheetViews>
    <sheetView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M6" sqref="M6"/>
    </sheetView>
  </sheetViews>
  <sheetFormatPr defaultRowHeight="12.75" x14ac:dyDescent="0.2"/>
  <cols>
    <col min="1" max="1" width="3.5703125" style="1" customWidth="1"/>
    <col min="2" max="2" width="26.7109375" style="1" bestFit="1" customWidth="1"/>
    <col min="3" max="4" width="9.140625" style="1"/>
    <col min="5" max="5" width="10.140625" style="1" bestFit="1" customWidth="1"/>
    <col min="6" max="8" width="9.140625" style="1"/>
    <col min="9" max="9" width="10.140625" style="1" bestFit="1" customWidth="1"/>
    <col min="10" max="13" width="9.140625" style="1"/>
    <col min="14" max="16" width="10.140625" style="1" bestFit="1" customWidth="1"/>
    <col min="17" max="16384" width="9.140625" style="1"/>
  </cols>
  <sheetData>
    <row r="1" spans="2:39" s="10" customFormat="1" x14ac:dyDescent="0.2">
      <c r="C1" s="10">
        <v>44316</v>
      </c>
      <c r="D1" s="10">
        <v>44407</v>
      </c>
      <c r="E1" s="10">
        <v>44498</v>
      </c>
      <c r="F1" s="10">
        <v>44589</v>
      </c>
      <c r="G1" s="10">
        <v>44680</v>
      </c>
      <c r="H1" s="10">
        <v>44771</v>
      </c>
      <c r="I1" s="10">
        <v>44862</v>
      </c>
      <c r="J1" s="10">
        <v>44960</v>
      </c>
      <c r="K1" s="10">
        <v>45051</v>
      </c>
      <c r="L1" s="10">
        <v>45142</v>
      </c>
      <c r="N1" s="10">
        <v>42004</v>
      </c>
      <c r="O1" s="10">
        <v>42369</v>
      </c>
      <c r="P1" s="10">
        <v>42735</v>
      </c>
      <c r="Q1" s="10">
        <v>43133</v>
      </c>
      <c r="R1" s="10">
        <v>43497</v>
      </c>
      <c r="S1" s="10">
        <v>43861</v>
      </c>
      <c r="T1" s="10">
        <v>44225</v>
      </c>
      <c r="U1" s="10">
        <v>44589</v>
      </c>
      <c r="V1" s="10">
        <v>44960</v>
      </c>
    </row>
    <row r="2" spans="2:39" x14ac:dyDescent="0.2"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N2">
        <v>2014</v>
      </c>
      <c r="O2">
        <f>+N2+1</f>
        <v>2015</v>
      </c>
      <c r="P2">
        <f t="shared" ref="P2:W2" si="0">+O2+1</f>
        <v>2016</v>
      </c>
      <c r="Q2">
        <f t="shared" si="0"/>
        <v>2017</v>
      </c>
      <c r="R2">
        <f t="shared" si="0"/>
        <v>2018</v>
      </c>
      <c r="S2">
        <f t="shared" si="0"/>
        <v>2019</v>
      </c>
      <c r="T2">
        <f t="shared" si="0"/>
        <v>2020</v>
      </c>
      <c r="U2">
        <f t="shared" si="0"/>
        <v>2021</v>
      </c>
      <c r="V2">
        <f t="shared" si="0"/>
        <v>2022</v>
      </c>
      <c r="W2">
        <f t="shared" si="0"/>
        <v>2023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2:39" x14ac:dyDescent="0.2">
      <c r="B3" s="1" t="s">
        <v>80</v>
      </c>
      <c r="C3" s="1">
        <v>646</v>
      </c>
      <c r="D3" s="1">
        <v>796</v>
      </c>
      <c r="E3" s="1">
        <v>710</v>
      </c>
      <c r="F3" s="1">
        <f>+U3-SUM(C3:E3)</f>
        <v>976</v>
      </c>
      <c r="G3" s="1">
        <v>572</v>
      </c>
      <c r="H3" s="1">
        <v>796</v>
      </c>
      <c r="I3" s="1">
        <v>621</v>
      </c>
      <c r="J3" s="1">
        <f>+V3-SUM(G3:I3)</f>
        <v>846</v>
      </c>
      <c r="K3" s="1">
        <v>517</v>
      </c>
      <c r="L3" s="1">
        <v>619</v>
      </c>
      <c r="N3" s="1">
        <v>2591</v>
      </c>
      <c r="O3" s="1">
        <v>2720</v>
      </c>
      <c r="P3" s="1">
        <v>2794</v>
      </c>
      <c r="Q3" s="1">
        <v>2628</v>
      </c>
      <c r="R3" s="1">
        <v>3042</v>
      </c>
      <c r="S3" s="1">
        <v>3181</v>
      </c>
      <c r="T3" s="1">
        <v>3033</v>
      </c>
      <c r="U3" s="1">
        <v>3128</v>
      </c>
      <c r="V3" s="1">
        <v>2835</v>
      </c>
    </row>
    <row r="4" spans="2:39" x14ac:dyDescent="0.2">
      <c r="B4" s="1" t="s">
        <v>78</v>
      </c>
      <c r="C4" s="1">
        <v>741</v>
      </c>
      <c r="D4" s="1">
        <v>943</v>
      </c>
      <c r="E4" s="1">
        <v>820</v>
      </c>
      <c r="F4" s="1">
        <f>+U4-SUM(C4:E4)</f>
        <v>701</v>
      </c>
      <c r="G4" s="1">
        <v>899</v>
      </c>
      <c r="H4" s="1">
        <v>943</v>
      </c>
      <c r="I4" s="1">
        <v>988</v>
      </c>
      <c r="J4" s="1">
        <f>+V4-SUM(G4:I4)</f>
        <v>1182</v>
      </c>
      <c r="K4" s="1">
        <v>1217</v>
      </c>
      <c r="L4" s="1">
        <v>1259</v>
      </c>
      <c r="N4" s="1">
        <v>0</v>
      </c>
      <c r="O4" s="1">
        <v>0</v>
      </c>
      <c r="P4" s="1">
        <v>0</v>
      </c>
      <c r="Q4" s="1">
        <v>927</v>
      </c>
      <c r="R4" s="1">
        <v>1303</v>
      </c>
      <c r="S4" s="1">
        <v>1877</v>
      </c>
      <c r="T4" s="1">
        <v>2587</v>
      </c>
      <c r="U4" s="1">
        <v>3205</v>
      </c>
      <c r="V4" s="1">
        <v>4012</v>
      </c>
    </row>
    <row r="5" spans="2:39" x14ac:dyDescent="0.2">
      <c r="B5" s="1" t="s">
        <v>79</v>
      </c>
      <c r="C5" s="1">
        <v>1607</v>
      </c>
      <c r="D5" s="1">
        <v>1597</v>
      </c>
      <c r="E5" s="1">
        <v>1658</v>
      </c>
      <c r="F5" s="1">
        <f>+U5-SUM(C5:E5)</f>
        <v>1656</v>
      </c>
      <c r="G5" s="1">
        <v>1617</v>
      </c>
      <c r="H5" s="1">
        <v>1597</v>
      </c>
      <c r="I5" s="1">
        <v>1602</v>
      </c>
      <c r="J5" s="1">
        <f>+V5-SUM(G5:I5)</f>
        <v>1687</v>
      </c>
      <c r="K5" s="1">
        <v>1543</v>
      </c>
      <c r="L5" s="1">
        <v>1530</v>
      </c>
      <c r="N5" s="1">
        <v>3444</v>
      </c>
      <c r="O5" s="1">
        <v>3927</v>
      </c>
      <c r="P5" s="1">
        <v>4299</v>
      </c>
      <c r="Q5" s="1">
        <v>4781</v>
      </c>
      <c r="R5" s="1">
        <v>5268</v>
      </c>
      <c r="S5" s="1">
        <v>5753</v>
      </c>
      <c r="T5" s="1">
        <v>6147</v>
      </c>
      <c r="U5" s="1">
        <v>6518</v>
      </c>
      <c r="V5" s="1">
        <v>6503</v>
      </c>
    </row>
    <row r="6" spans="2:39" s="3" customFormat="1" x14ac:dyDescent="0.2">
      <c r="B6" s="3" t="s">
        <v>7</v>
      </c>
      <c r="C6" s="3">
        <f t="shared" ref="C6:L6" si="1">+SUM(C3:C5)</f>
        <v>2994</v>
      </c>
      <c r="D6" s="3">
        <f t="shared" si="1"/>
        <v>3336</v>
      </c>
      <c r="E6" s="3">
        <f t="shared" si="1"/>
        <v>3188</v>
      </c>
      <c r="F6" s="3">
        <f t="shared" si="1"/>
        <v>3333</v>
      </c>
      <c r="G6" s="3">
        <f t="shared" si="1"/>
        <v>3088</v>
      </c>
      <c r="H6" s="3">
        <f t="shared" si="1"/>
        <v>3336</v>
      </c>
      <c r="I6" s="3">
        <f t="shared" si="1"/>
        <v>3211</v>
      </c>
      <c r="J6" s="3">
        <f t="shared" si="1"/>
        <v>3715</v>
      </c>
      <c r="K6" s="3">
        <f t="shared" si="1"/>
        <v>3277</v>
      </c>
      <c r="L6" s="3">
        <f t="shared" si="1"/>
        <v>3408</v>
      </c>
      <c r="N6" s="3">
        <f t="shared" ref="N6:V6" si="2">+SUM(N3:N5)</f>
        <v>6035</v>
      </c>
      <c r="O6" s="3">
        <f t="shared" si="2"/>
        <v>6647</v>
      </c>
      <c r="P6" s="3">
        <f t="shared" si="2"/>
        <v>7093</v>
      </c>
      <c r="Q6" s="3">
        <f t="shared" si="2"/>
        <v>8336</v>
      </c>
      <c r="R6" s="3">
        <f t="shared" si="2"/>
        <v>9613</v>
      </c>
      <c r="S6" s="3">
        <f t="shared" si="2"/>
        <v>10811</v>
      </c>
      <c r="T6" s="3">
        <f t="shared" si="2"/>
        <v>11767</v>
      </c>
      <c r="U6" s="3">
        <f t="shared" si="2"/>
        <v>12851</v>
      </c>
      <c r="V6" s="3">
        <f t="shared" si="2"/>
        <v>13350</v>
      </c>
    </row>
    <row r="7" spans="2:39" x14ac:dyDescent="0.2">
      <c r="B7" s="1" t="s">
        <v>81</v>
      </c>
      <c r="C7" s="1">
        <v>37</v>
      </c>
      <c r="D7" s="1">
        <v>39</v>
      </c>
      <c r="E7" s="1">
        <v>37</v>
      </c>
      <c r="F7" s="1">
        <f>+U7-SUM(C7:E7)</f>
        <v>39</v>
      </c>
      <c r="G7" s="1">
        <v>35</v>
      </c>
      <c r="H7" s="1">
        <v>39</v>
      </c>
      <c r="I7" s="1">
        <v>39</v>
      </c>
      <c r="J7" s="1">
        <f>+V7-SUM(G7:I7)</f>
        <v>41</v>
      </c>
      <c r="K7" s="1">
        <v>39</v>
      </c>
      <c r="L7" s="1">
        <v>37</v>
      </c>
      <c r="N7" s="1">
        <v>192</v>
      </c>
      <c r="O7" s="1">
        <v>186</v>
      </c>
      <c r="P7" s="1">
        <v>159</v>
      </c>
      <c r="Q7" s="1">
        <v>135</v>
      </c>
      <c r="R7" s="1">
        <v>150</v>
      </c>
      <c r="S7" s="1">
        <v>166</v>
      </c>
      <c r="T7" s="1">
        <v>163</v>
      </c>
      <c r="U7" s="1">
        <v>152</v>
      </c>
      <c r="V7" s="1">
        <v>154</v>
      </c>
    </row>
    <row r="8" spans="2:39" x14ac:dyDescent="0.2">
      <c r="B8" s="1" t="s">
        <v>82</v>
      </c>
      <c r="C8" s="1">
        <v>157</v>
      </c>
      <c r="D8" s="1">
        <v>196</v>
      </c>
      <c r="E8" s="1">
        <v>175</v>
      </c>
      <c r="F8" s="1">
        <f>+U8-SUM(C8:E8)</f>
        <v>162</v>
      </c>
      <c r="G8" s="1">
        <v>192</v>
      </c>
      <c r="H8" s="1">
        <v>196</v>
      </c>
      <c r="I8" s="1">
        <v>196</v>
      </c>
      <c r="J8" s="1">
        <f>+V8-SUM(G8:I8)</f>
        <v>204</v>
      </c>
      <c r="K8" s="1">
        <v>208</v>
      </c>
      <c r="L8" s="1">
        <v>203</v>
      </c>
      <c r="N8" s="1">
        <v>0</v>
      </c>
      <c r="O8" s="1">
        <v>0</v>
      </c>
      <c r="P8" s="1">
        <v>0</v>
      </c>
      <c r="Q8" s="1">
        <v>200</v>
      </c>
      <c r="R8" s="1">
        <v>280</v>
      </c>
      <c r="S8" s="1">
        <v>400</v>
      </c>
      <c r="T8" s="1">
        <v>588</v>
      </c>
      <c r="U8" s="1">
        <v>690</v>
      </c>
      <c r="V8" s="1">
        <v>788</v>
      </c>
    </row>
    <row r="9" spans="2:39" x14ac:dyDescent="0.2">
      <c r="B9" s="1" t="s">
        <v>83</v>
      </c>
      <c r="C9" s="1">
        <v>337</v>
      </c>
      <c r="D9" s="1">
        <v>369</v>
      </c>
      <c r="E9" s="1">
        <v>362</v>
      </c>
      <c r="F9" s="1">
        <f>+U9-SUM(C9:E9)</f>
        <v>361</v>
      </c>
      <c r="G9" s="1">
        <v>375</v>
      </c>
      <c r="H9" s="1">
        <v>369</v>
      </c>
      <c r="I9" s="1">
        <v>384</v>
      </c>
      <c r="J9" s="1">
        <f>+V9-SUM(G9:I9)</f>
        <v>412</v>
      </c>
      <c r="K9" s="1">
        <v>397</v>
      </c>
      <c r="L9" s="1">
        <v>399</v>
      </c>
      <c r="N9" s="1">
        <v>725</v>
      </c>
      <c r="O9" s="1">
        <v>832</v>
      </c>
      <c r="P9" s="1">
        <v>894</v>
      </c>
      <c r="Q9" s="1">
        <v>1072</v>
      </c>
      <c r="R9" s="1">
        <v>1122</v>
      </c>
      <c r="S9" s="1">
        <v>1233</v>
      </c>
      <c r="T9" s="1">
        <v>1292</v>
      </c>
      <c r="U9" s="1">
        <v>1429</v>
      </c>
      <c r="V9" s="1">
        <v>1540</v>
      </c>
    </row>
    <row r="10" spans="2:39" x14ac:dyDescent="0.2">
      <c r="B10" s="1" t="s">
        <v>10</v>
      </c>
      <c r="C10" s="1">
        <f t="shared" ref="C10:L10" si="3">+SUM(C7:C9)</f>
        <v>531</v>
      </c>
      <c r="D10" s="1">
        <f t="shared" si="3"/>
        <v>604</v>
      </c>
      <c r="E10" s="1">
        <f t="shared" si="3"/>
        <v>574</v>
      </c>
      <c r="F10" s="1">
        <f t="shared" si="3"/>
        <v>562</v>
      </c>
      <c r="G10" s="1">
        <f t="shared" si="3"/>
        <v>602</v>
      </c>
      <c r="H10" s="1">
        <f t="shared" si="3"/>
        <v>604</v>
      </c>
      <c r="I10" s="1">
        <f t="shared" si="3"/>
        <v>619</v>
      </c>
      <c r="J10" s="1">
        <f t="shared" si="3"/>
        <v>657</v>
      </c>
      <c r="K10" s="1">
        <f t="shared" si="3"/>
        <v>644</v>
      </c>
      <c r="L10" s="1">
        <f t="shared" si="3"/>
        <v>639</v>
      </c>
      <c r="N10" s="1">
        <f t="shared" ref="N10:V10" si="4">+SUM(N7:N9)</f>
        <v>917</v>
      </c>
      <c r="O10" s="1">
        <f t="shared" si="4"/>
        <v>1018</v>
      </c>
      <c r="P10" s="1">
        <f t="shared" si="4"/>
        <v>1053</v>
      </c>
      <c r="Q10" s="1">
        <f t="shared" si="4"/>
        <v>1407</v>
      </c>
      <c r="R10" s="1">
        <f t="shared" si="4"/>
        <v>1552</v>
      </c>
      <c r="S10" s="1">
        <f t="shared" si="4"/>
        <v>1799</v>
      </c>
      <c r="T10" s="1">
        <f t="shared" si="4"/>
        <v>2043</v>
      </c>
      <c r="U10" s="1">
        <f t="shared" si="4"/>
        <v>2271</v>
      </c>
      <c r="V10" s="1">
        <f t="shared" si="4"/>
        <v>2482</v>
      </c>
    </row>
    <row r="11" spans="2:39" s="3" customFormat="1" x14ac:dyDescent="0.2">
      <c r="B11" s="3" t="s">
        <v>11</v>
      </c>
      <c r="C11" s="3">
        <f t="shared" ref="C11:L11" si="5">+C6-C10</f>
        <v>2463</v>
      </c>
      <c r="D11" s="3">
        <f t="shared" si="5"/>
        <v>2732</v>
      </c>
      <c r="E11" s="3">
        <f t="shared" si="5"/>
        <v>2614</v>
      </c>
      <c r="F11" s="3">
        <f t="shared" si="5"/>
        <v>2771</v>
      </c>
      <c r="G11" s="3">
        <f t="shared" si="5"/>
        <v>2486</v>
      </c>
      <c r="H11" s="3">
        <f t="shared" si="5"/>
        <v>2732</v>
      </c>
      <c r="I11" s="3">
        <f t="shared" si="5"/>
        <v>2592</v>
      </c>
      <c r="J11" s="3">
        <f t="shared" si="5"/>
        <v>3058</v>
      </c>
      <c r="K11" s="3">
        <f t="shared" si="5"/>
        <v>2633</v>
      </c>
      <c r="L11" s="3">
        <f t="shared" si="5"/>
        <v>2769</v>
      </c>
      <c r="N11" s="3">
        <f t="shared" ref="N11:V11" si="6">+N6-N10</f>
        <v>5118</v>
      </c>
      <c r="O11" s="3">
        <f t="shared" si="6"/>
        <v>5629</v>
      </c>
      <c r="P11" s="3">
        <f t="shared" si="6"/>
        <v>6040</v>
      </c>
      <c r="Q11" s="3">
        <f t="shared" si="6"/>
        <v>6929</v>
      </c>
      <c r="R11" s="3">
        <f t="shared" si="6"/>
        <v>8061</v>
      </c>
      <c r="S11" s="3">
        <f t="shared" si="6"/>
        <v>9012</v>
      </c>
      <c r="T11" s="3">
        <f t="shared" si="6"/>
        <v>9724</v>
      </c>
      <c r="U11" s="3">
        <f t="shared" si="6"/>
        <v>10580</v>
      </c>
      <c r="V11" s="3">
        <f t="shared" si="6"/>
        <v>10868</v>
      </c>
    </row>
    <row r="12" spans="2:39" x14ac:dyDescent="0.2">
      <c r="B12" s="1" t="s">
        <v>12</v>
      </c>
      <c r="C12" s="1">
        <v>708</v>
      </c>
      <c r="D12" s="1">
        <v>803</v>
      </c>
      <c r="E12" s="1">
        <v>768</v>
      </c>
      <c r="F12" s="1">
        <f>+U12-SUM(C12:E12)</f>
        <v>778</v>
      </c>
      <c r="G12" s="1">
        <v>774</v>
      </c>
      <c r="H12" s="1">
        <v>803</v>
      </c>
      <c r="I12" s="1">
        <v>832</v>
      </c>
      <c r="J12" s="1">
        <f>+V12-SUM(G12:I12)</f>
        <v>908</v>
      </c>
      <c r="K12" s="1">
        <v>847</v>
      </c>
      <c r="L12" s="1">
        <v>835</v>
      </c>
      <c r="N12" s="1">
        <v>1239</v>
      </c>
      <c r="O12" s="1">
        <v>1300</v>
      </c>
      <c r="P12" s="1">
        <v>1503</v>
      </c>
      <c r="Q12" s="1">
        <v>1917</v>
      </c>
      <c r="R12" s="1">
        <v>2173</v>
      </c>
      <c r="S12" s="1">
        <v>2522</v>
      </c>
      <c r="T12" s="1">
        <v>2816</v>
      </c>
      <c r="U12" s="1">
        <v>3057</v>
      </c>
      <c r="V12" s="1">
        <v>3317</v>
      </c>
    </row>
    <row r="13" spans="2:39" x14ac:dyDescent="0.2">
      <c r="B13" s="1" t="s">
        <v>84</v>
      </c>
      <c r="C13" s="1">
        <v>959</v>
      </c>
      <c r="D13" s="1">
        <v>1080</v>
      </c>
      <c r="E13" s="1">
        <v>1011</v>
      </c>
      <c r="F13" s="1">
        <f>+U13-SUM(C13:E13)</f>
        <v>1017</v>
      </c>
      <c r="G13" s="1">
        <v>1053</v>
      </c>
      <c r="H13" s="1">
        <v>1080</v>
      </c>
      <c r="I13" s="1">
        <v>1081</v>
      </c>
      <c r="J13" s="1">
        <f>+V13-SUM(G13:I13)</f>
        <v>1177</v>
      </c>
      <c r="K13" s="1">
        <v>1104</v>
      </c>
      <c r="L13" s="1">
        <v>1100</v>
      </c>
      <c r="N13" s="1">
        <v>2141</v>
      </c>
      <c r="O13" s="1">
        <v>2267</v>
      </c>
      <c r="P13" s="1">
        <v>2357</v>
      </c>
      <c r="Q13" s="1">
        <v>2723</v>
      </c>
      <c r="R13" s="1">
        <v>3230</v>
      </c>
      <c r="S13" s="1">
        <v>3677</v>
      </c>
      <c r="T13" s="1">
        <v>3711</v>
      </c>
      <c r="U13" s="1">
        <v>4067</v>
      </c>
      <c r="V13" s="1">
        <v>4391</v>
      </c>
    </row>
    <row r="14" spans="2:39" x14ac:dyDescent="0.2">
      <c r="B14" s="1" t="s">
        <v>85</v>
      </c>
      <c r="C14" s="1">
        <v>236</v>
      </c>
      <c r="D14" s="1">
        <v>276</v>
      </c>
      <c r="E14" s="1">
        <v>316</v>
      </c>
      <c r="F14" s="1">
        <f>+U14-SUM(C14:E14)</f>
        <v>239</v>
      </c>
      <c r="G14" s="1">
        <v>251</v>
      </c>
      <c r="H14" s="1">
        <v>276</v>
      </c>
      <c r="I14" s="1">
        <v>289</v>
      </c>
      <c r="J14" s="1">
        <f>+V14-SUM(G14:I14)</f>
        <v>314</v>
      </c>
      <c r="K14" s="1">
        <v>373</v>
      </c>
      <c r="L14" s="1">
        <v>287</v>
      </c>
      <c r="N14" s="1">
        <v>695</v>
      </c>
      <c r="O14" s="1">
        <v>766</v>
      </c>
      <c r="P14" s="1">
        <v>689</v>
      </c>
      <c r="Q14" s="1">
        <v>722</v>
      </c>
      <c r="R14" s="1">
        <v>846</v>
      </c>
      <c r="S14" s="1">
        <v>1293</v>
      </c>
      <c r="T14" s="1">
        <v>767</v>
      </c>
      <c r="U14" s="1">
        <v>1067</v>
      </c>
      <c r="V14" s="1">
        <v>1130</v>
      </c>
    </row>
    <row r="15" spans="2:39" x14ac:dyDescent="0.2">
      <c r="B15" s="1" t="s">
        <v>14</v>
      </c>
      <c r="C15" s="1">
        <f t="shared" ref="C15:L15" si="7">+SUM(C12:C14)</f>
        <v>1903</v>
      </c>
      <c r="D15" s="1">
        <f t="shared" si="7"/>
        <v>2159</v>
      </c>
      <c r="E15" s="1">
        <f t="shared" si="7"/>
        <v>2095</v>
      </c>
      <c r="F15" s="1">
        <f t="shared" si="7"/>
        <v>2034</v>
      </c>
      <c r="G15" s="1">
        <f t="shared" si="7"/>
        <v>2078</v>
      </c>
      <c r="H15" s="1">
        <f t="shared" si="7"/>
        <v>2159</v>
      </c>
      <c r="I15" s="1">
        <f t="shared" si="7"/>
        <v>2202</v>
      </c>
      <c r="J15" s="1">
        <f t="shared" si="7"/>
        <v>2399</v>
      </c>
      <c r="K15" s="1">
        <f t="shared" si="7"/>
        <v>2324</v>
      </c>
      <c r="L15" s="1">
        <f t="shared" si="7"/>
        <v>2222</v>
      </c>
      <c r="N15" s="1">
        <f t="shared" ref="N15:V15" si="8">+SUM(N12:N14)</f>
        <v>4075</v>
      </c>
      <c r="O15" s="1">
        <f t="shared" si="8"/>
        <v>4333</v>
      </c>
      <c r="P15" s="1">
        <f t="shared" si="8"/>
        <v>4549</v>
      </c>
      <c r="Q15" s="1">
        <f t="shared" si="8"/>
        <v>5362</v>
      </c>
      <c r="R15" s="1">
        <f t="shared" si="8"/>
        <v>6249</v>
      </c>
      <c r="S15" s="1">
        <f t="shared" si="8"/>
        <v>7492</v>
      </c>
      <c r="T15" s="1">
        <f t="shared" si="8"/>
        <v>7294</v>
      </c>
      <c r="U15" s="1">
        <f t="shared" si="8"/>
        <v>8191</v>
      </c>
      <c r="V15" s="1">
        <f t="shared" si="8"/>
        <v>8838</v>
      </c>
    </row>
    <row r="16" spans="2:39" s="3" customFormat="1" x14ac:dyDescent="0.2">
      <c r="B16" s="3" t="s">
        <v>86</v>
      </c>
      <c r="C16" s="3">
        <f t="shared" ref="C16:L16" si="9">+C11-C15</f>
        <v>560</v>
      </c>
      <c r="D16" s="3">
        <f t="shared" si="9"/>
        <v>573</v>
      </c>
      <c r="E16" s="3">
        <f t="shared" si="9"/>
        <v>519</v>
      </c>
      <c r="F16" s="3">
        <f t="shared" si="9"/>
        <v>737</v>
      </c>
      <c r="G16" s="3">
        <f t="shared" si="9"/>
        <v>408</v>
      </c>
      <c r="H16" s="3">
        <f t="shared" si="9"/>
        <v>573</v>
      </c>
      <c r="I16" s="3">
        <f t="shared" si="9"/>
        <v>390</v>
      </c>
      <c r="J16" s="3">
        <f t="shared" si="9"/>
        <v>659</v>
      </c>
      <c r="K16" s="3">
        <f t="shared" si="9"/>
        <v>309</v>
      </c>
      <c r="L16" s="3">
        <f t="shared" si="9"/>
        <v>547</v>
      </c>
      <c r="N16" s="3">
        <f t="shared" ref="N16:V16" si="10">+N11-N15</f>
        <v>1043</v>
      </c>
      <c r="O16" s="3">
        <f t="shared" si="10"/>
        <v>1296</v>
      </c>
      <c r="P16" s="3">
        <f t="shared" si="10"/>
        <v>1491</v>
      </c>
      <c r="Q16" s="3">
        <f t="shared" si="10"/>
        <v>1567</v>
      </c>
      <c r="R16" s="3">
        <f t="shared" si="10"/>
        <v>1812</v>
      </c>
      <c r="S16" s="3">
        <f t="shared" si="10"/>
        <v>1520</v>
      </c>
      <c r="T16" s="3">
        <f t="shared" si="10"/>
        <v>2430</v>
      </c>
      <c r="U16" s="3">
        <f t="shared" si="10"/>
        <v>2389</v>
      </c>
      <c r="V16" s="3">
        <f t="shared" si="10"/>
        <v>2030</v>
      </c>
    </row>
    <row r="17" spans="2:22" x14ac:dyDescent="0.2">
      <c r="B17" s="1" t="s">
        <v>16</v>
      </c>
      <c r="C17" s="1">
        <v>-50</v>
      </c>
      <c r="D17" s="1">
        <v>-74</v>
      </c>
      <c r="E17" s="1">
        <v>-74</v>
      </c>
      <c r="F17" s="1">
        <f>+U17-SUM(C17:E17)</f>
        <v>-54</v>
      </c>
      <c r="G17" s="1">
        <v>-71</v>
      </c>
      <c r="H17" s="1">
        <v>-74</v>
      </c>
      <c r="I17" s="1">
        <v>-77</v>
      </c>
      <c r="J17" s="1">
        <f>+V17-SUM(G17:I17)</f>
        <v>-82</v>
      </c>
      <c r="K17" s="1">
        <v>-80</v>
      </c>
      <c r="L17" s="1">
        <v>-79</v>
      </c>
      <c r="N17" s="1">
        <v>-24</v>
      </c>
      <c r="O17" s="1">
        <v>-26</v>
      </c>
      <c r="P17" s="1">
        <v>-26</v>
      </c>
      <c r="Q17" s="1">
        <v>-74</v>
      </c>
      <c r="R17" s="1">
        <v>-134</v>
      </c>
      <c r="S17" s="1">
        <v>-149</v>
      </c>
      <c r="T17" s="1">
        <v>-204</v>
      </c>
      <c r="U17" s="1">
        <v>-252</v>
      </c>
      <c r="V17" s="1">
        <v>-304</v>
      </c>
    </row>
    <row r="18" spans="2:22" x14ac:dyDescent="0.2">
      <c r="B18" s="1" t="s">
        <v>17</v>
      </c>
      <c r="C18" s="1">
        <v>-23</v>
      </c>
      <c r="D18" s="1">
        <v>-20</v>
      </c>
      <c r="E18" s="1">
        <v>12</v>
      </c>
      <c r="F18" s="1">
        <f>+U18-SUM(C18:E18)</f>
        <v>-21</v>
      </c>
      <c r="G18" s="1">
        <v>-10</v>
      </c>
      <c r="H18" s="1">
        <v>-20</v>
      </c>
      <c r="I18" s="1">
        <v>-14</v>
      </c>
      <c r="J18" s="1">
        <f>+V18-SUM(G18:I18)</f>
        <v>53</v>
      </c>
      <c r="K18" s="1">
        <v>6</v>
      </c>
      <c r="L18" s="1">
        <v>19</v>
      </c>
      <c r="N18" s="1">
        <v>7</v>
      </c>
      <c r="O18" s="1">
        <v>-7</v>
      </c>
      <c r="P18" s="1">
        <v>-17</v>
      </c>
      <c r="Q18" s="1">
        <v>68</v>
      </c>
      <c r="R18" s="1">
        <v>-1</v>
      </c>
      <c r="S18" s="1">
        <v>86</v>
      </c>
      <c r="T18" s="1">
        <v>191</v>
      </c>
      <c r="U18" s="1">
        <v>-52</v>
      </c>
      <c r="V18" s="1">
        <v>9</v>
      </c>
    </row>
    <row r="19" spans="2:22" x14ac:dyDescent="0.2">
      <c r="B19" s="1" t="s">
        <v>18</v>
      </c>
      <c r="C19" s="1">
        <f t="shared" ref="C19:L19" si="11">+SUM(C17:C18)+C16</f>
        <v>487</v>
      </c>
      <c r="D19" s="1">
        <f t="shared" si="11"/>
        <v>479</v>
      </c>
      <c r="E19" s="1">
        <f t="shared" si="11"/>
        <v>457</v>
      </c>
      <c r="F19" s="1">
        <f t="shared" si="11"/>
        <v>662</v>
      </c>
      <c r="G19" s="1">
        <f t="shared" si="11"/>
        <v>327</v>
      </c>
      <c r="H19" s="1">
        <f t="shared" si="11"/>
        <v>479</v>
      </c>
      <c r="I19" s="1">
        <f t="shared" si="11"/>
        <v>299</v>
      </c>
      <c r="J19" s="1">
        <f t="shared" si="11"/>
        <v>630</v>
      </c>
      <c r="K19" s="1">
        <f t="shared" si="11"/>
        <v>235</v>
      </c>
      <c r="L19" s="1">
        <f t="shared" si="11"/>
        <v>487</v>
      </c>
      <c r="N19" s="1">
        <f t="shared" ref="N19:V19" si="12">+SUM(N17:N18)+N16</f>
        <v>1026</v>
      </c>
      <c r="O19" s="1">
        <f t="shared" si="12"/>
        <v>1263</v>
      </c>
      <c r="P19" s="1">
        <f t="shared" si="12"/>
        <v>1448</v>
      </c>
      <c r="Q19" s="1">
        <f t="shared" si="12"/>
        <v>1561</v>
      </c>
      <c r="R19" s="1">
        <f t="shared" si="12"/>
        <v>1677</v>
      </c>
      <c r="S19" s="1">
        <f t="shared" si="12"/>
        <v>1457</v>
      </c>
      <c r="T19" s="1">
        <f t="shared" si="12"/>
        <v>2417</v>
      </c>
      <c r="U19" s="1">
        <f t="shared" si="12"/>
        <v>2085</v>
      </c>
      <c r="V19" s="1">
        <f t="shared" si="12"/>
        <v>1735</v>
      </c>
    </row>
    <row r="20" spans="2:22" x14ac:dyDescent="0.2">
      <c r="B20" s="1" t="s">
        <v>19</v>
      </c>
      <c r="C20" s="1">
        <v>61</v>
      </c>
      <c r="D20" s="1">
        <v>132</v>
      </c>
      <c r="E20" s="1">
        <v>59</v>
      </c>
      <c r="F20" s="1">
        <f>+U20-SUM(C20:E20)</f>
        <v>13</v>
      </c>
      <c r="G20" s="1">
        <v>75</v>
      </c>
      <c r="H20" s="1">
        <v>132</v>
      </c>
      <c r="I20" s="1">
        <v>88</v>
      </c>
      <c r="J20" s="1">
        <f>+V20-SUM(G20:I20)</f>
        <v>183</v>
      </c>
      <c r="K20" s="1">
        <v>75</v>
      </c>
      <c r="L20" s="1">
        <v>84</v>
      </c>
      <c r="N20" s="1">
        <v>162</v>
      </c>
      <c r="O20" s="1">
        <v>216</v>
      </c>
      <c r="P20" s="1">
        <v>287</v>
      </c>
      <c r="Q20" s="1">
        <v>1152</v>
      </c>
      <c r="R20" s="1">
        <v>239</v>
      </c>
      <c r="S20" s="1">
        <v>-4918</v>
      </c>
      <c r="T20" s="1">
        <v>324</v>
      </c>
      <c r="U20" s="1">
        <v>265</v>
      </c>
      <c r="V20" s="1">
        <v>478</v>
      </c>
    </row>
    <row r="21" spans="2:22" s="3" customFormat="1" x14ac:dyDescent="0.2">
      <c r="B21" s="3" t="s">
        <v>20</v>
      </c>
      <c r="C21" s="3">
        <f t="shared" ref="C21:L21" si="13">+C19-C20</f>
        <v>426</v>
      </c>
      <c r="D21" s="3">
        <f t="shared" si="13"/>
        <v>347</v>
      </c>
      <c r="E21" s="3">
        <f t="shared" si="13"/>
        <v>398</v>
      </c>
      <c r="F21" s="3">
        <f t="shared" si="13"/>
        <v>649</v>
      </c>
      <c r="G21" s="3">
        <f t="shared" si="13"/>
        <v>252</v>
      </c>
      <c r="H21" s="3">
        <f t="shared" si="13"/>
        <v>347</v>
      </c>
      <c r="I21" s="3">
        <f t="shared" si="13"/>
        <v>211</v>
      </c>
      <c r="J21" s="3">
        <f t="shared" si="13"/>
        <v>447</v>
      </c>
      <c r="K21" s="3">
        <f t="shared" si="13"/>
        <v>160</v>
      </c>
      <c r="L21" s="3">
        <f t="shared" si="13"/>
        <v>403</v>
      </c>
      <c r="N21" s="3">
        <f t="shared" ref="N21:V21" si="14">+N19-N20</f>
        <v>864</v>
      </c>
      <c r="O21" s="3">
        <f t="shared" si="14"/>
        <v>1047</v>
      </c>
      <c r="P21" s="3">
        <f t="shared" si="14"/>
        <v>1161</v>
      </c>
      <c r="Q21" s="3">
        <f t="shared" si="14"/>
        <v>409</v>
      </c>
      <c r="R21" s="3">
        <f t="shared" si="14"/>
        <v>1438</v>
      </c>
      <c r="S21" s="3">
        <f t="shared" si="14"/>
        <v>6375</v>
      </c>
      <c r="T21" s="3">
        <f t="shared" si="14"/>
        <v>2093</v>
      </c>
      <c r="U21" s="3">
        <f t="shared" si="14"/>
        <v>1820</v>
      </c>
      <c r="V21" s="3">
        <f t="shared" si="14"/>
        <v>1257</v>
      </c>
    </row>
    <row r="22" spans="2:22" x14ac:dyDescent="0.2">
      <c r="B22" s="1" t="s">
        <v>21</v>
      </c>
      <c r="C22" s="7">
        <f t="shared" ref="C22:L22" si="15">+C21/C23</f>
        <v>1.0093877802472764</v>
      </c>
      <c r="D22" s="7">
        <f t="shared" si="15"/>
        <v>0.81815502505157678</v>
      </c>
      <c r="E22" s="7">
        <f t="shared" si="15"/>
        <v>0.94365793111297103</v>
      </c>
      <c r="F22" s="7">
        <f t="shared" si="15"/>
        <v>1.5355785747748685</v>
      </c>
      <c r="G22" s="7">
        <f t="shared" si="15"/>
        <v>0.59576299035194935</v>
      </c>
      <c r="H22" s="7">
        <f t="shared" si="15"/>
        <v>0.81815502505157678</v>
      </c>
      <c r="I22" s="7">
        <f t="shared" si="15"/>
        <v>0.49492409600120096</v>
      </c>
      <c r="J22" s="7">
        <f t="shared" si="15"/>
        <v>1.0530531473803242</v>
      </c>
      <c r="K22" s="7">
        <f t="shared" si="15"/>
        <v>0.37072822608860867</v>
      </c>
      <c r="L22" s="7">
        <f t="shared" si="15"/>
        <v>0.92837890759980657</v>
      </c>
      <c r="N22" s="7">
        <f t="shared" ref="N22:V22" si="16">+N21/N23</f>
        <v>1.9884330273202413</v>
      </c>
      <c r="O22" s="7">
        <f t="shared" si="16"/>
        <v>2.4545946871036484</v>
      </c>
      <c r="P22" s="7">
        <f t="shared" si="16"/>
        <v>2.7382462959381497</v>
      </c>
      <c r="Q22" s="7">
        <f t="shared" si="16"/>
        <v>0.97175726501412496</v>
      </c>
      <c r="R22" s="7">
        <f t="shared" si="16"/>
        <v>3.4146144548845849</v>
      </c>
      <c r="S22" s="7">
        <f t="shared" si="16"/>
        <v>14.991710465977635</v>
      </c>
      <c r="T22" s="7">
        <f t="shared" si="16"/>
        <v>4.9451847651450711</v>
      </c>
      <c r="U22" s="7">
        <f t="shared" si="16"/>
        <v>4.3087733253786746</v>
      </c>
      <c r="V22" s="7">
        <f t="shared" si="16"/>
        <v>2.951674259146198</v>
      </c>
    </row>
    <row r="23" spans="2:22" x14ac:dyDescent="0.2">
      <c r="B23" s="1" t="s">
        <v>1</v>
      </c>
      <c r="C23" s="1">
        <v>422.03800000000001</v>
      </c>
      <c r="D23" s="1">
        <v>424.125</v>
      </c>
      <c r="E23" s="1">
        <v>421.76299999999998</v>
      </c>
      <c r="F23" s="1">
        <f>+AVERAGE(C23:E23)</f>
        <v>422.642</v>
      </c>
      <c r="G23" s="1">
        <v>422.98700000000002</v>
      </c>
      <c r="H23" s="1">
        <v>424.125</v>
      </c>
      <c r="I23" s="1">
        <v>426.32799999999997</v>
      </c>
      <c r="J23" s="1">
        <f>+AVERAGE(G23:I23)</f>
        <v>424.48</v>
      </c>
      <c r="K23" s="1">
        <v>431.58300000000003</v>
      </c>
      <c r="L23" s="1">
        <v>434.09</v>
      </c>
      <c r="N23" s="1">
        <v>434.51299999999998</v>
      </c>
      <c r="O23" s="1">
        <v>426.54700000000003</v>
      </c>
      <c r="P23" s="1">
        <v>423.99400000000003</v>
      </c>
      <c r="Q23" s="1">
        <v>420.887</v>
      </c>
      <c r="R23" s="1">
        <v>421.13099999999997</v>
      </c>
      <c r="S23" s="1">
        <v>425.23500000000001</v>
      </c>
      <c r="T23" s="1">
        <v>423.24</v>
      </c>
      <c r="U23" s="1">
        <v>422.39400000000001</v>
      </c>
      <c r="V23" s="1">
        <v>425.86</v>
      </c>
    </row>
    <row r="25" spans="2:22" s="4" customFormat="1" x14ac:dyDescent="0.2">
      <c r="B25" s="4" t="s">
        <v>22</v>
      </c>
      <c r="C25" s="4">
        <f t="shared" ref="C25:L25" si="17">+C11/C6</f>
        <v>0.82264529058116231</v>
      </c>
      <c r="D25" s="4">
        <f t="shared" si="17"/>
        <v>0.81894484412470026</v>
      </c>
      <c r="E25" s="4">
        <f t="shared" si="17"/>
        <v>0.81994981179422832</v>
      </c>
      <c r="F25" s="4">
        <f t="shared" si="17"/>
        <v>0.83138313831383137</v>
      </c>
      <c r="G25" s="4">
        <f t="shared" si="17"/>
        <v>0.80505181347150256</v>
      </c>
      <c r="H25" s="4">
        <f t="shared" si="17"/>
        <v>0.81894484412470026</v>
      </c>
      <c r="I25" s="4">
        <f t="shared" si="17"/>
        <v>0.80722516350046714</v>
      </c>
      <c r="J25" s="4">
        <f t="shared" si="17"/>
        <v>0.82314939434724088</v>
      </c>
      <c r="K25" s="4">
        <f t="shared" si="17"/>
        <v>0.80347879157766244</v>
      </c>
      <c r="L25" s="4">
        <f t="shared" si="17"/>
        <v>0.8125</v>
      </c>
      <c r="N25" s="4">
        <f t="shared" ref="N25:V25" si="18">+N11/N6</f>
        <v>0.84805302402651206</v>
      </c>
      <c r="O25" s="4">
        <f t="shared" si="18"/>
        <v>0.8468482021964796</v>
      </c>
      <c r="P25" s="4">
        <f t="shared" si="18"/>
        <v>0.85154377555336247</v>
      </c>
      <c r="Q25" s="4">
        <f t="shared" si="18"/>
        <v>0.8312140115163148</v>
      </c>
      <c r="R25" s="4">
        <f t="shared" si="18"/>
        <v>0.8385519608862998</v>
      </c>
      <c r="S25" s="4">
        <f t="shared" si="18"/>
        <v>0.83359541208028864</v>
      </c>
      <c r="T25" s="4">
        <f t="shared" si="18"/>
        <v>0.82637885612305595</v>
      </c>
      <c r="U25" s="4">
        <f t="shared" si="18"/>
        <v>0.82328223484553731</v>
      </c>
      <c r="V25" s="4">
        <f t="shared" si="18"/>
        <v>0.8140823970037453</v>
      </c>
    </row>
    <row r="26" spans="2:22" s="4" customFormat="1" x14ac:dyDescent="0.2">
      <c r="B26" s="4" t="s">
        <v>23</v>
      </c>
      <c r="C26" s="4">
        <f t="shared" ref="C26:L26" si="19">+C16/C6</f>
        <v>0.18704074816299265</v>
      </c>
      <c r="D26" s="4">
        <f t="shared" si="19"/>
        <v>0.17176258992805754</v>
      </c>
      <c r="E26" s="4">
        <f t="shared" si="19"/>
        <v>0.16279799247176913</v>
      </c>
      <c r="F26" s="4">
        <f t="shared" si="19"/>
        <v>0.22112211221122113</v>
      </c>
      <c r="G26" s="4">
        <f t="shared" si="19"/>
        <v>0.13212435233160622</v>
      </c>
      <c r="H26" s="4">
        <f t="shared" si="19"/>
        <v>0.17176258992805754</v>
      </c>
      <c r="I26" s="4">
        <f t="shared" si="19"/>
        <v>0.1214574898785425</v>
      </c>
      <c r="J26" s="4">
        <f t="shared" si="19"/>
        <v>0.17738896366083445</v>
      </c>
      <c r="K26" s="4">
        <f t="shared" si="19"/>
        <v>9.4293561184009764E-2</v>
      </c>
      <c r="L26" s="4">
        <f t="shared" si="19"/>
        <v>0.16050469483568075</v>
      </c>
      <c r="N26" s="4">
        <f t="shared" ref="N26:V26" si="20">+N16/N6</f>
        <v>0.1728251864125932</v>
      </c>
      <c r="O26" s="4">
        <f t="shared" si="20"/>
        <v>0.19497517677147586</v>
      </c>
      <c r="P26" s="4">
        <f t="shared" si="20"/>
        <v>0.21020724658113632</v>
      </c>
      <c r="Q26" s="4">
        <f t="shared" si="20"/>
        <v>0.18797984644913629</v>
      </c>
      <c r="R26" s="4">
        <f t="shared" si="20"/>
        <v>0.18849474669718089</v>
      </c>
      <c r="S26" s="4">
        <f t="shared" si="20"/>
        <v>0.14059753954305801</v>
      </c>
      <c r="T26" s="4">
        <f t="shared" si="20"/>
        <v>0.2065097306025325</v>
      </c>
      <c r="U26" s="4">
        <f t="shared" si="20"/>
        <v>0.18589992996653956</v>
      </c>
      <c r="V26" s="4">
        <f t="shared" si="20"/>
        <v>0.15205992509363295</v>
      </c>
    </row>
    <row r="27" spans="2:22" s="4" customFormat="1" x14ac:dyDescent="0.2">
      <c r="B27" s="4" t="s">
        <v>24</v>
      </c>
      <c r="C27" s="4">
        <f t="shared" ref="C27:L27" si="21">+C21/C6</f>
        <v>0.14228456913827656</v>
      </c>
      <c r="D27" s="4">
        <f t="shared" si="21"/>
        <v>0.10401678657074341</v>
      </c>
      <c r="E27" s="4">
        <f t="shared" si="21"/>
        <v>0.12484316185696362</v>
      </c>
      <c r="F27" s="4">
        <f t="shared" si="21"/>
        <v>0.19471947194719472</v>
      </c>
      <c r="G27" s="4">
        <f t="shared" si="21"/>
        <v>8.1606217616580309E-2</v>
      </c>
      <c r="H27" s="4">
        <f t="shared" si="21"/>
        <v>0.10401678657074341</v>
      </c>
      <c r="I27" s="4">
        <f t="shared" si="21"/>
        <v>6.5711616318903765E-2</v>
      </c>
      <c r="J27" s="4">
        <f t="shared" si="21"/>
        <v>0.12032301480484522</v>
      </c>
      <c r="K27" s="4">
        <f t="shared" si="21"/>
        <v>4.8825144949649069E-2</v>
      </c>
      <c r="L27" s="4">
        <f t="shared" si="21"/>
        <v>0.11825117370892019</v>
      </c>
      <c r="N27" s="4">
        <f t="shared" ref="N27:V27" si="22">+N21/N6</f>
        <v>0.14316487158243579</v>
      </c>
      <c r="O27" s="4">
        <f t="shared" si="22"/>
        <v>0.15751466827140062</v>
      </c>
      <c r="P27" s="4">
        <f t="shared" si="22"/>
        <v>0.1636825038770619</v>
      </c>
      <c r="Q27" s="4">
        <f t="shared" si="22"/>
        <v>4.9064299424184263E-2</v>
      </c>
      <c r="R27" s="4">
        <f t="shared" si="22"/>
        <v>0.14958909809632789</v>
      </c>
      <c r="S27" s="4">
        <f t="shared" si="22"/>
        <v>0.58967718064933861</v>
      </c>
      <c r="T27" s="4">
        <f t="shared" si="22"/>
        <v>0.17787031528851874</v>
      </c>
      <c r="U27" s="4">
        <f t="shared" si="22"/>
        <v>0.14162321998288072</v>
      </c>
      <c r="V27" s="4">
        <f t="shared" si="22"/>
        <v>9.415730337078651E-2</v>
      </c>
    </row>
    <row r="28" spans="2:22" s="4" customFormat="1" x14ac:dyDescent="0.2">
      <c r="B28" s="4" t="s">
        <v>25</v>
      </c>
      <c r="C28" s="4">
        <f t="shared" ref="C28:L28" si="23">+C20/C19</f>
        <v>0.12525667351129363</v>
      </c>
      <c r="D28" s="4">
        <f t="shared" si="23"/>
        <v>0.27557411273486432</v>
      </c>
      <c r="E28" s="4">
        <f t="shared" si="23"/>
        <v>0.12910284463894967</v>
      </c>
      <c r="F28" s="4">
        <f t="shared" si="23"/>
        <v>1.9637462235649546E-2</v>
      </c>
      <c r="G28" s="4">
        <f t="shared" si="23"/>
        <v>0.22935779816513763</v>
      </c>
      <c r="H28" s="4">
        <f t="shared" si="23"/>
        <v>0.27557411273486432</v>
      </c>
      <c r="I28" s="4">
        <f t="shared" si="23"/>
        <v>0.29431438127090304</v>
      </c>
      <c r="J28" s="4">
        <f t="shared" si="23"/>
        <v>0.2904761904761905</v>
      </c>
      <c r="K28" s="4">
        <f t="shared" si="23"/>
        <v>0.31914893617021278</v>
      </c>
      <c r="L28" s="4">
        <f t="shared" si="23"/>
        <v>0.17248459958932238</v>
      </c>
      <c r="N28" s="4">
        <f t="shared" ref="N28:V28" si="24">+N20/N19</f>
        <v>0.15789473684210525</v>
      </c>
      <c r="O28" s="4">
        <f t="shared" si="24"/>
        <v>0.17102137767220901</v>
      </c>
      <c r="P28" s="4">
        <f t="shared" si="24"/>
        <v>0.19820441988950277</v>
      </c>
      <c r="Q28" s="4">
        <f t="shared" si="24"/>
        <v>0.737988468930173</v>
      </c>
      <c r="R28" s="4">
        <f t="shared" si="24"/>
        <v>0.14251639833035182</v>
      </c>
      <c r="S28" s="4">
        <f t="shared" si="24"/>
        <v>-3.3754289636238846</v>
      </c>
      <c r="T28" s="4">
        <f t="shared" si="24"/>
        <v>0.13405047579644186</v>
      </c>
      <c r="U28" s="4">
        <f t="shared" si="24"/>
        <v>0.12709832134292565</v>
      </c>
      <c r="V28" s="4">
        <f t="shared" si="24"/>
        <v>0.27550432276657061</v>
      </c>
    </row>
    <row r="29" spans="2:22" s="4" customFormat="1" x14ac:dyDescent="0.2"/>
    <row r="30" spans="2:22" s="5" customFormat="1" x14ac:dyDescent="0.2">
      <c r="B30" s="5" t="s">
        <v>26</v>
      </c>
      <c r="G30" s="5">
        <f t="shared" ref="G30:H30" si="25">+G6/C6-1</f>
        <v>3.1396125584502332E-2</v>
      </c>
      <c r="H30" s="5">
        <f t="shared" si="25"/>
        <v>0</v>
      </c>
      <c r="I30" s="5">
        <f>+I6/E6-1</f>
        <v>7.2145545796737931E-3</v>
      </c>
      <c r="J30" s="5">
        <f>+J6/F6-1</f>
        <v>0.11461146114611465</v>
      </c>
      <c r="K30" s="5">
        <f>+K6/G6-1</f>
        <v>6.1204663212435229E-2</v>
      </c>
      <c r="L30" s="5">
        <f>+L6/H6-1</f>
        <v>2.1582733812949728E-2</v>
      </c>
      <c r="N30" s="5" t="e">
        <f t="shared" ref="N30:V30" si="26">+N6/M6-1</f>
        <v>#DIV/0!</v>
      </c>
      <c r="O30" s="5">
        <f t="shared" si="26"/>
        <v>0.10140845070422544</v>
      </c>
      <c r="P30" s="5">
        <f t="shared" si="26"/>
        <v>6.7097938919813416E-2</v>
      </c>
      <c r="Q30" s="5">
        <f t="shared" si="26"/>
        <v>0.17524319751868034</v>
      </c>
      <c r="R30" s="5">
        <f t="shared" si="26"/>
        <v>0.15319097888675626</v>
      </c>
      <c r="S30" s="5">
        <f t="shared" si="26"/>
        <v>0.12462290648080732</v>
      </c>
      <c r="T30" s="5">
        <f t="shared" si="26"/>
        <v>8.8428452502081312E-2</v>
      </c>
      <c r="U30" s="5">
        <f t="shared" si="26"/>
        <v>9.212203620294046E-2</v>
      </c>
      <c r="V30" s="5">
        <f t="shared" si="26"/>
        <v>3.882966306124036E-2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2024-07-02T09:17:54Z</dcterms:created>
  <dcterms:modified xsi:type="dcterms:W3CDTF">2025-04-17T16:29:20Z</dcterms:modified>
</cp:coreProperties>
</file>