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A764AA06-8389-4212-96B0-6ACB8D0D7254}" xr6:coauthVersionLast="47" xr6:coauthVersionMax="47" xr10:uidLastSave="{00000000-0000-0000-0000-000000000000}"/>
  <bookViews>
    <workbookView xWindow="90" yWindow="90" windowWidth="13905" windowHeight="15315" activeTab="1" xr2:uid="{AB672A97-6D0E-42F3-BC83-CA2BFAA0EEA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2" l="1"/>
  <c r="I46" i="2"/>
  <c r="I38" i="2"/>
  <c r="I34" i="2"/>
  <c r="I30" i="2"/>
  <c r="G46" i="2"/>
  <c r="G51" i="2" s="1"/>
  <c r="G38" i="2"/>
  <c r="G34" i="2"/>
  <c r="G31" i="2"/>
  <c r="H53" i="2"/>
  <c r="H42" i="2"/>
  <c r="H30" i="2"/>
  <c r="H38" i="2"/>
  <c r="H34" i="2"/>
  <c r="H46" i="2"/>
  <c r="H51" i="2" s="1"/>
  <c r="H31" i="2"/>
  <c r="D13" i="2"/>
  <c r="D6" i="2"/>
  <c r="D28" i="2" s="1"/>
  <c r="E13" i="2"/>
  <c r="E6" i="2"/>
  <c r="E9" i="2" s="1"/>
  <c r="I13" i="2"/>
  <c r="I6" i="2"/>
  <c r="I9" i="2" s="1"/>
  <c r="F13" i="2"/>
  <c r="F6" i="2"/>
  <c r="F28" i="2" s="1"/>
  <c r="J13" i="2"/>
  <c r="J6" i="2"/>
  <c r="G13" i="2"/>
  <c r="G6" i="2"/>
  <c r="G28" i="2" s="1"/>
  <c r="K13" i="2"/>
  <c r="K6" i="2"/>
  <c r="H13" i="2"/>
  <c r="H6" i="2"/>
  <c r="H9" i="2" s="1"/>
  <c r="H23" i="2" s="1"/>
  <c r="L13" i="2"/>
  <c r="L6" i="2"/>
  <c r="L9" i="2" s="1"/>
  <c r="L10" i="1"/>
  <c r="L9" i="1"/>
  <c r="L8" i="1"/>
  <c r="L7" i="1"/>
  <c r="I42" i="2" l="1"/>
  <c r="I52" i="2" s="1"/>
  <c r="I53" i="2" s="1"/>
  <c r="G42" i="2"/>
  <c r="G52" i="2" s="1"/>
  <c r="G53" i="2" s="1"/>
  <c r="G30" i="2"/>
  <c r="H52" i="2"/>
  <c r="H28" i="2"/>
  <c r="L23" i="2"/>
  <c r="L14" i="2"/>
  <c r="L28" i="2"/>
  <c r="D9" i="2"/>
  <c r="D23" i="2" s="1"/>
  <c r="E28" i="2"/>
  <c r="E23" i="2"/>
  <c r="E14" i="2"/>
  <c r="I28" i="2"/>
  <c r="I23" i="2"/>
  <c r="I14" i="2"/>
  <c r="F9" i="2"/>
  <c r="J28" i="2"/>
  <c r="J9" i="2"/>
  <c r="K28" i="2"/>
  <c r="G9" i="2"/>
  <c r="K9" i="2"/>
  <c r="H14" i="2"/>
  <c r="H17" i="2" l="1"/>
  <c r="H24" i="2"/>
  <c r="D14" i="2"/>
  <c r="D17" i="2" s="1"/>
  <c r="L24" i="2"/>
  <c r="L17" i="2"/>
  <c r="E24" i="2"/>
  <c r="E17" i="2"/>
  <c r="I24" i="2"/>
  <c r="I17" i="2"/>
  <c r="F23" i="2"/>
  <c r="F14" i="2"/>
  <c r="J14" i="2"/>
  <c r="J23" i="2"/>
  <c r="G14" i="2"/>
  <c r="G23" i="2"/>
  <c r="K14" i="2"/>
  <c r="K23" i="2"/>
  <c r="L26" i="2" l="1"/>
  <c r="L19" i="2"/>
  <c r="D24" i="2"/>
  <c r="H19" i="2"/>
  <c r="H26" i="2"/>
  <c r="D26" i="2"/>
  <c r="D19" i="2"/>
  <c r="E19" i="2"/>
  <c r="E26" i="2"/>
  <c r="I19" i="2"/>
  <c r="I26" i="2"/>
  <c r="F24" i="2"/>
  <c r="F17" i="2"/>
  <c r="J17" i="2"/>
  <c r="J24" i="2"/>
  <c r="G17" i="2"/>
  <c r="G24" i="2"/>
  <c r="K24" i="2"/>
  <c r="K17" i="2"/>
  <c r="H20" i="2" l="1"/>
  <c r="H25" i="2"/>
  <c r="L20" i="2"/>
  <c r="L25" i="2"/>
  <c r="D25" i="2"/>
  <c r="D20" i="2"/>
  <c r="E25" i="2"/>
  <c r="E20" i="2"/>
  <c r="I25" i="2"/>
  <c r="I20" i="2"/>
  <c r="F19" i="2"/>
  <c r="F26" i="2"/>
  <c r="J19" i="2"/>
  <c r="J26" i="2"/>
  <c r="G26" i="2"/>
  <c r="G19" i="2"/>
  <c r="K26" i="2"/>
  <c r="K19" i="2"/>
  <c r="F20" i="2" l="1"/>
  <c r="F25" i="2"/>
  <c r="J25" i="2"/>
  <c r="J20" i="2"/>
  <c r="G25" i="2"/>
  <c r="G20" i="2"/>
  <c r="K25" i="2"/>
  <c r="K20" i="2"/>
</calcChain>
</file>

<file path=xl/sharedStrings.xml><?xml version="1.0" encoding="utf-8"?>
<sst xmlns="http://schemas.openxmlformats.org/spreadsheetml/2006/main" count="68" uniqueCount="57">
  <si>
    <t>Boeing</t>
  </si>
  <si>
    <t>(BA)</t>
  </si>
  <si>
    <t>(in millions)</t>
  </si>
  <si>
    <t>Price</t>
  </si>
  <si>
    <t>Shares</t>
  </si>
  <si>
    <t>MC</t>
  </si>
  <si>
    <t>Cash</t>
  </si>
  <si>
    <t>Debt</t>
  </si>
  <si>
    <t>EV</t>
  </si>
  <si>
    <t>Products</t>
  </si>
  <si>
    <t>Revenue</t>
  </si>
  <si>
    <t>Services</t>
  </si>
  <si>
    <t>COGS</t>
  </si>
  <si>
    <t>Operating investments</t>
  </si>
  <si>
    <t>G&amp;A</t>
  </si>
  <si>
    <t>R&amp;D</t>
  </si>
  <si>
    <t>Operating expense</t>
  </si>
  <si>
    <t>Operating income</t>
  </si>
  <si>
    <t>Other</t>
  </si>
  <si>
    <t>Interest expense</t>
  </si>
  <si>
    <t>Interest income</t>
  </si>
  <si>
    <t>Pretax</t>
  </si>
  <si>
    <t>Taxes</t>
  </si>
  <si>
    <t>Net income</t>
  </si>
  <si>
    <t>EPS</t>
  </si>
  <si>
    <t>Q124</t>
  </si>
  <si>
    <t>Q123</t>
  </si>
  <si>
    <t>Gross margin</t>
  </si>
  <si>
    <t>Operating margin</t>
  </si>
  <si>
    <t>Net margin</t>
  </si>
  <si>
    <t>Tax rate</t>
  </si>
  <si>
    <t>Revenue y/y</t>
  </si>
  <si>
    <t>Q223</t>
  </si>
  <si>
    <t>Q323</t>
  </si>
  <si>
    <t>Q423</t>
  </si>
  <si>
    <t>Q122</t>
  </si>
  <si>
    <t>Q222</t>
  </si>
  <si>
    <t>Q322</t>
  </si>
  <si>
    <t>Q422</t>
  </si>
  <si>
    <t>Net cash</t>
  </si>
  <si>
    <t>A/R</t>
  </si>
  <si>
    <t>Unbilled receivables</t>
  </si>
  <si>
    <t>Financing</t>
  </si>
  <si>
    <t>Iventories</t>
  </si>
  <si>
    <t>Assets</t>
  </si>
  <si>
    <t>A/P</t>
  </si>
  <si>
    <t>Accrued retiree health care</t>
  </si>
  <si>
    <t>Accrued pension plan</t>
  </si>
  <si>
    <t>Liabilities</t>
  </si>
  <si>
    <t>S/E</t>
  </si>
  <si>
    <t>L+S/E</t>
  </si>
  <si>
    <t>Accrued liabilties</t>
  </si>
  <si>
    <t>Progress billings</t>
  </si>
  <si>
    <t>D/T</t>
  </si>
  <si>
    <t>PP&amp;E</t>
  </si>
  <si>
    <t>Goodwill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</si>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</sst>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9" fontId="0" fillId="0" borderId="0" xfId="0" applyNumberFormat="1"/>
    <xf numFmtId="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2ED4-A6AD-474A-9F05-35C367ADE066}">
  <dimension ref="A1:L10"/>
  <sheetViews>
    <sheetView workbookViewId="0">
      <selection activeCell="L11" sqref="L11"/>
    </sheetView>
  </sheetViews>
  <sheetFormatPr defaultRowHeight="12.75" x14ac:dyDescent="0.2"/>
  <cols>
    <col min="1" max="1" width="18.85546875" bestFit="1" customWidth="1"/>
  </cols>
  <sheetData>
    <row r="1" spans="1:12" ht="34.5" x14ac:dyDescent="0.45">
      <c r="A1" s="1" t="s">
        <v>0</v>
      </c>
    </row>
    <row r="2" spans="1:12" x14ac:dyDescent="0.2">
      <c r="A2" s="2" t="s">
        <v>1</v>
      </c>
    </row>
    <row r="3" spans="1:12" s="4" customFormat="1" x14ac:dyDescent="0.2">
      <c r="A3" s="2" t="s">
        <v>2</v>
      </c>
    </row>
    <row r="4" spans="1:12" x14ac:dyDescent="0.2">
      <c r="K4" s="4"/>
      <c r="L4" s="4"/>
    </row>
    <row r="5" spans="1:12" x14ac:dyDescent="0.2">
      <c r="K5" t="s">
        <v>3</v>
      </c>
      <c r="L5" s="3">
        <v>167</v>
      </c>
    </row>
    <row r="6" spans="1:12" x14ac:dyDescent="0.2">
      <c r="K6" t="s">
        <v>4</v>
      </c>
      <c r="L6" s="3">
        <v>613.88422400000002</v>
      </c>
    </row>
    <row r="7" spans="1:12" x14ac:dyDescent="0.2">
      <c r="K7" t="s">
        <v>5</v>
      </c>
      <c r="L7" s="3">
        <f>+L5*L6</f>
        <v>102518.665408</v>
      </c>
    </row>
    <row r="8" spans="1:12" x14ac:dyDescent="0.2">
      <c r="K8" t="s">
        <v>6</v>
      </c>
      <c r="L8" s="3">
        <f>6914+615</f>
        <v>7529</v>
      </c>
    </row>
    <row r="9" spans="1:12" x14ac:dyDescent="0.2">
      <c r="K9" t="s">
        <v>7</v>
      </c>
      <c r="L9" s="3">
        <f>1063+46877</f>
        <v>47940</v>
      </c>
    </row>
    <row r="10" spans="1:12" x14ac:dyDescent="0.2">
      <c r="K10" t="s">
        <v>8</v>
      </c>
      <c r="L10" s="3">
        <f>+L7-L8+L9</f>
        <v>142929.665408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FCCF-337D-4025-82ED-42A29FDEBE8B}">
  <dimension ref="A1:L54"/>
  <sheetViews>
    <sheetView tabSelected="1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I31" sqref="I31"/>
    </sheetView>
  </sheetViews>
  <sheetFormatPr defaultRowHeight="12.75" x14ac:dyDescent="0.2"/>
  <cols>
    <col min="1" max="1" width="19.7109375" bestFit="1" customWidth="1"/>
    <col min="2" max="3" width="9.140625" style="3"/>
    <col min="4" max="12" width="10.140625" style="3" bestFit="1" customWidth="1"/>
    <col min="13" max="16384" width="9.140625" style="3"/>
  </cols>
  <sheetData>
    <row r="1" spans="1:12" ht="34.5" x14ac:dyDescent="0.45">
      <c r="A1" s="1" t="s">
        <v>0</v>
      </c>
    </row>
    <row r="2" spans="1:12" s="12" customFormat="1" x14ac:dyDescent="0.2">
      <c r="A2" s="2" t="s">
        <v>1</v>
      </c>
      <c r="D2" s="12">
        <v>44651</v>
      </c>
      <c r="E2" s="12">
        <v>44742</v>
      </c>
      <c r="F2" s="12">
        <v>44834</v>
      </c>
      <c r="G2" s="12">
        <v>44926</v>
      </c>
      <c r="H2" s="12">
        <v>45016</v>
      </c>
      <c r="I2" s="12">
        <v>45107</v>
      </c>
      <c r="J2" s="12">
        <v>45199</v>
      </c>
      <c r="K2" s="12">
        <v>45291</v>
      </c>
      <c r="L2" s="12">
        <v>45382</v>
      </c>
    </row>
    <row r="3" spans="1:12" s="11" customFormat="1" x14ac:dyDescent="0.2">
      <c r="A3" s="2" t="s">
        <v>2</v>
      </c>
      <c r="D3" s="11" t="s">
        <v>35</v>
      </c>
      <c r="E3" s="11" t="s">
        <v>36</v>
      </c>
      <c r="F3" s="11" t="s">
        <v>37</v>
      </c>
      <c r="G3" s="11" t="s">
        <v>38</v>
      </c>
      <c r="H3" s="7" t="s">
        <v>26</v>
      </c>
      <c r="I3" s="7" t="s">
        <v>32</v>
      </c>
      <c r="J3" s="7" t="s">
        <v>33</v>
      </c>
      <c r="K3" s="7" t="s">
        <v>34</v>
      </c>
      <c r="L3" s="7" t="s">
        <v>25</v>
      </c>
    </row>
    <row r="4" spans="1:12" s="7" customFormat="1" x14ac:dyDescent="0.2">
      <c r="A4" s="8" t="s">
        <v>9</v>
      </c>
      <c r="D4" s="7">
        <v>11427</v>
      </c>
      <c r="E4" s="7">
        <v>14009</v>
      </c>
      <c r="F4" s="7">
        <v>13331</v>
      </c>
      <c r="G4" s="7">
        <v>17126</v>
      </c>
      <c r="H4" s="7">
        <v>14914</v>
      </c>
      <c r="I4" s="7">
        <v>16687</v>
      </c>
      <c r="J4" s="7">
        <v>15060</v>
      </c>
      <c r="K4" s="7">
        <v>18920</v>
      </c>
      <c r="L4" s="7">
        <v>13268</v>
      </c>
    </row>
    <row r="5" spans="1:12" x14ac:dyDescent="0.2">
      <c r="A5" t="s">
        <v>11</v>
      </c>
      <c r="D5" s="3">
        <v>2564</v>
      </c>
      <c r="E5" s="3">
        <v>2672</v>
      </c>
      <c r="F5" s="3">
        <v>2625</v>
      </c>
      <c r="G5" s="3">
        <v>2854</v>
      </c>
      <c r="H5" s="3">
        <v>3007</v>
      </c>
      <c r="I5" s="3">
        <v>3064</v>
      </c>
      <c r="J5" s="3">
        <v>3044</v>
      </c>
      <c r="K5" s="3">
        <v>3098</v>
      </c>
      <c r="L5" s="3">
        <v>3301</v>
      </c>
    </row>
    <row r="6" spans="1:12" s="6" customFormat="1" x14ac:dyDescent="0.2">
      <c r="A6" s="5" t="s">
        <v>10</v>
      </c>
      <c r="D6" s="6">
        <f>+D4+D5</f>
        <v>13991</v>
      </c>
      <c r="E6" s="6">
        <f>+E4+E5</f>
        <v>16681</v>
      </c>
      <c r="F6" s="6">
        <f>+F4+F5</f>
        <v>15956</v>
      </c>
      <c r="G6" s="6">
        <f>+G4+G5</f>
        <v>19980</v>
      </c>
      <c r="H6" s="6">
        <f>+H4+H5</f>
        <v>17921</v>
      </c>
      <c r="I6" s="6">
        <f>+I4+I5</f>
        <v>19751</v>
      </c>
      <c r="J6" s="6">
        <f>+J4+J5</f>
        <v>18104</v>
      </c>
      <c r="K6" s="6">
        <f>+K4+K5</f>
        <v>22018</v>
      </c>
      <c r="L6" s="6">
        <f>+L4+L5</f>
        <v>16569</v>
      </c>
    </row>
    <row r="7" spans="1:12" x14ac:dyDescent="0.2">
      <c r="A7" t="s">
        <v>9</v>
      </c>
      <c r="D7" s="3">
        <v>11412</v>
      </c>
      <c r="E7" s="3">
        <v>12284</v>
      </c>
      <c r="F7" s="3">
        <v>14541</v>
      </c>
      <c r="G7" s="3">
        <v>15732</v>
      </c>
      <c r="H7" s="3">
        <v>13553</v>
      </c>
      <c r="I7" s="3">
        <v>15123</v>
      </c>
      <c r="J7" s="3">
        <v>14464</v>
      </c>
      <c r="K7" s="3">
        <v>16724</v>
      </c>
      <c r="L7" s="3">
        <v>12064</v>
      </c>
    </row>
    <row r="8" spans="1:12" x14ac:dyDescent="0.2">
      <c r="A8" t="s">
        <v>11</v>
      </c>
      <c r="D8" s="3">
        <v>2226</v>
      </c>
      <c r="E8" s="3">
        <v>2269</v>
      </c>
      <c r="F8" s="3">
        <v>2230</v>
      </c>
      <c r="G8" s="3">
        <v>2384</v>
      </c>
      <c r="H8" s="3">
        <v>2445</v>
      </c>
      <c r="I8" s="3">
        <v>2689</v>
      </c>
      <c r="J8" s="3">
        <v>2475</v>
      </c>
      <c r="K8" s="3">
        <v>2597</v>
      </c>
      <c r="L8" s="3">
        <v>2629</v>
      </c>
    </row>
    <row r="9" spans="1:12" s="6" customFormat="1" x14ac:dyDescent="0.2">
      <c r="A9" s="5" t="s">
        <v>12</v>
      </c>
      <c r="D9" s="6">
        <f>+D6-SUM(D7:D8)</f>
        <v>353</v>
      </c>
      <c r="E9" s="6">
        <f>+E6-SUM(E7:E8)</f>
        <v>2128</v>
      </c>
      <c r="F9" s="6">
        <f>+F6-SUM(F7:F8)</f>
        <v>-815</v>
      </c>
      <c r="G9" s="6">
        <f>+G6-SUM(G7:G8)</f>
        <v>1864</v>
      </c>
      <c r="H9" s="6">
        <f>+H6-SUM(H7:H8)</f>
        <v>1923</v>
      </c>
      <c r="I9" s="6">
        <f>+I6-SUM(I7:I8)</f>
        <v>1939</v>
      </c>
      <c r="J9" s="6">
        <f>+J6-SUM(J7:J8)</f>
        <v>1165</v>
      </c>
      <c r="K9" s="6">
        <f>+K6-SUM(K7:K8)</f>
        <v>2697</v>
      </c>
      <c r="L9" s="6">
        <f>+L6-SUM(L7:L8)</f>
        <v>1876</v>
      </c>
    </row>
    <row r="10" spans="1:12" x14ac:dyDescent="0.2">
      <c r="A10" t="s">
        <v>13</v>
      </c>
      <c r="D10" s="3">
        <v>-20</v>
      </c>
      <c r="E10" s="3">
        <v>17</v>
      </c>
      <c r="F10" s="3">
        <v>-24</v>
      </c>
      <c r="G10" s="3">
        <v>11</v>
      </c>
      <c r="H10" s="3">
        <v>-27</v>
      </c>
      <c r="I10" s="3">
        <v>44</v>
      </c>
      <c r="J10" s="3">
        <v>28</v>
      </c>
      <c r="K10" s="3">
        <v>1</v>
      </c>
      <c r="L10" s="3">
        <v>67</v>
      </c>
    </row>
    <row r="11" spans="1:12" x14ac:dyDescent="0.2">
      <c r="A11" t="s">
        <v>14</v>
      </c>
      <c r="D11" s="3">
        <v>-863</v>
      </c>
      <c r="E11" s="3">
        <v>-668</v>
      </c>
      <c r="F11" s="3">
        <v>-1226</v>
      </c>
      <c r="G11" s="3">
        <v>-1430</v>
      </c>
      <c r="H11" s="3">
        <v>-1304</v>
      </c>
      <c r="I11" s="3">
        <v>-1286</v>
      </c>
      <c r="J11" s="3">
        <v>-1043</v>
      </c>
      <c r="K11" s="3">
        <v>-1535</v>
      </c>
      <c r="L11" s="3">
        <v>-1161</v>
      </c>
    </row>
    <row r="12" spans="1:12" x14ac:dyDescent="0.2">
      <c r="A12" t="s">
        <v>15</v>
      </c>
      <c r="D12" s="3">
        <v>-633</v>
      </c>
      <c r="E12" s="3">
        <v>-698</v>
      </c>
      <c r="F12" s="3">
        <v>-727</v>
      </c>
      <c r="G12" s="3">
        <v>-794</v>
      </c>
      <c r="H12" s="3">
        <v>-741</v>
      </c>
      <c r="I12" s="3">
        <v>-797</v>
      </c>
      <c r="J12" s="3">
        <v>-958</v>
      </c>
      <c r="K12" s="3">
        <v>-881</v>
      </c>
      <c r="L12" s="3">
        <v>-868</v>
      </c>
    </row>
    <row r="13" spans="1:12" x14ac:dyDescent="0.2">
      <c r="A13" t="s">
        <v>16</v>
      </c>
      <c r="D13" s="3">
        <f>+SUM(D10:D12)</f>
        <v>-1516</v>
      </c>
      <c r="E13" s="3">
        <f>+SUM(E10:E12)</f>
        <v>-1349</v>
      </c>
      <c r="F13" s="3">
        <f>+SUM(F10:F12)</f>
        <v>-1977</v>
      </c>
      <c r="G13" s="3">
        <f>+SUM(G10:G12)</f>
        <v>-2213</v>
      </c>
      <c r="H13" s="3">
        <f>+SUM(H10:H12)</f>
        <v>-2072</v>
      </c>
      <c r="I13" s="3">
        <f>+SUM(I10:I12)</f>
        <v>-2039</v>
      </c>
      <c r="J13" s="3">
        <f>+SUM(J10:J12)</f>
        <v>-1973</v>
      </c>
      <c r="K13" s="3">
        <f>+SUM(K10:K12)</f>
        <v>-2415</v>
      </c>
      <c r="L13" s="3">
        <f>+SUM(L10:L12)</f>
        <v>-1962</v>
      </c>
    </row>
    <row r="14" spans="1:12" s="6" customFormat="1" x14ac:dyDescent="0.2">
      <c r="A14" s="5" t="s">
        <v>17</v>
      </c>
      <c r="D14" s="6">
        <f>+D9+D13</f>
        <v>-1163</v>
      </c>
      <c r="E14" s="6">
        <f>+E9+E13</f>
        <v>779</v>
      </c>
      <c r="F14" s="6">
        <f>+F9+F13</f>
        <v>-2792</v>
      </c>
      <c r="G14" s="6">
        <f>+G9+G13</f>
        <v>-349</v>
      </c>
      <c r="H14" s="6">
        <f>+H9+H13</f>
        <v>-149</v>
      </c>
      <c r="I14" s="6">
        <f>+I9+I13</f>
        <v>-100</v>
      </c>
      <c r="J14" s="6">
        <f>+J9+J13</f>
        <v>-808</v>
      </c>
      <c r="K14" s="6">
        <f>+K9+K13</f>
        <v>282</v>
      </c>
      <c r="L14" s="6">
        <f>+L9+L13</f>
        <v>-86</v>
      </c>
    </row>
    <row r="15" spans="1:12" x14ac:dyDescent="0.2">
      <c r="A15" t="s">
        <v>20</v>
      </c>
      <c r="D15" s="3">
        <v>181</v>
      </c>
      <c r="E15" s="3">
        <v>253</v>
      </c>
      <c r="F15" s="3">
        <v>288</v>
      </c>
      <c r="G15" s="3">
        <v>336</v>
      </c>
      <c r="H15" s="3">
        <v>302</v>
      </c>
      <c r="I15" s="3">
        <v>320</v>
      </c>
      <c r="J15" s="3">
        <v>297</v>
      </c>
      <c r="K15" s="3">
        <v>308</v>
      </c>
      <c r="L15" s="3">
        <v>277</v>
      </c>
    </row>
    <row r="16" spans="1:12" x14ac:dyDescent="0.2">
      <c r="A16" t="s">
        <v>19</v>
      </c>
      <c r="D16" s="3">
        <v>-637</v>
      </c>
      <c r="E16" s="3">
        <v>-656</v>
      </c>
      <c r="F16" s="3">
        <v>-628</v>
      </c>
      <c r="G16" s="3">
        <v>-640</v>
      </c>
      <c r="H16" s="3">
        <v>-649</v>
      </c>
      <c r="I16" s="3">
        <v>-621</v>
      </c>
      <c r="J16" s="3">
        <v>-589</v>
      </c>
      <c r="K16" s="3">
        <v>-600</v>
      </c>
      <c r="L16" s="3">
        <v>-569</v>
      </c>
    </row>
    <row r="17" spans="1:12" x14ac:dyDescent="0.2">
      <c r="A17" t="s">
        <v>21</v>
      </c>
      <c r="D17" s="3">
        <f>+D14+SUM(D15:D16)</f>
        <v>-1619</v>
      </c>
      <c r="E17" s="3">
        <f>+E14+SUM(E15:E16)</f>
        <v>376</v>
      </c>
      <c r="F17" s="3">
        <f>+F14+SUM(F15:F16)</f>
        <v>-3132</v>
      </c>
      <c r="G17" s="3">
        <f>+G14+SUM(G15:G16)</f>
        <v>-653</v>
      </c>
      <c r="H17" s="3">
        <f>+H14+SUM(H15:H16)</f>
        <v>-496</v>
      </c>
      <c r="I17" s="3">
        <f>+I14+SUM(I15:I16)</f>
        <v>-401</v>
      </c>
      <c r="J17" s="3">
        <f>+J14+SUM(J15:J16)</f>
        <v>-1100</v>
      </c>
      <c r="K17" s="3">
        <f>+K14+SUM(K15:K16)</f>
        <v>-10</v>
      </c>
      <c r="L17" s="3">
        <f>+L14+SUM(L15:L16)</f>
        <v>-378</v>
      </c>
    </row>
    <row r="18" spans="1:12" x14ac:dyDescent="0.2">
      <c r="A18" t="s">
        <v>22</v>
      </c>
      <c r="D18" s="3">
        <v>-376</v>
      </c>
      <c r="E18" s="3">
        <v>217</v>
      </c>
      <c r="F18" s="3">
        <v>176</v>
      </c>
      <c r="G18" s="3">
        <v>14</v>
      </c>
      <c r="H18" s="3">
        <v>-71</v>
      </c>
      <c r="I18" s="3">
        <v>-251</v>
      </c>
      <c r="J18" s="3">
        <v>538</v>
      </c>
      <c r="K18" s="3">
        <v>21</v>
      </c>
      <c r="L18" s="3">
        <v>-23</v>
      </c>
    </row>
    <row r="19" spans="1:12" s="6" customFormat="1" x14ac:dyDescent="0.2">
      <c r="A19" s="5" t="s">
        <v>23</v>
      </c>
      <c r="D19" s="6">
        <f>+D17-D18</f>
        <v>-1243</v>
      </c>
      <c r="E19" s="6">
        <f>+E17-E18</f>
        <v>159</v>
      </c>
      <c r="F19" s="6">
        <f>+F17-F18</f>
        <v>-3308</v>
      </c>
      <c r="G19" s="6">
        <f>+G17-G18</f>
        <v>-667</v>
      </c>
      <c r="H19" s="6">
        <f>+H17-H18</f>
        <v>-425</v>
      </c>
      <c r="I19" s="6">
        <f>+I17-I18</f>
        <v>-150</v>
      </c>
      <c r="J19" s="6">
        <f>+J17-J18</f>
        <v>-1638</v>
      </c>
      <c r="K19" s="6">
        <f>+K17-K18</f>
        <v>-31</v>
      </c>
      <c r="L19" s="6">
        <f>+L17-L18</f>
        <v>-355</v>
      </c>
    </row>
    <row r="20" spans="1:12" x14ac:dyDescent="0.2">
      <c r="A20" t="s">
        <v>24</v>
      </c>
      <c r="D20" s="10">
        <f>+D19/D21</f>
        <v>-2.1007267196214294</v>
      </c>
      <c r="E20" s="10">
        <f>+E19/E21</f>
        <v>0.2665995975855131</v>
      </c>
      <c r="F20" s="10">
        <f>+F19/F21</f>
        <v>-5.5475431829615971</v>
      </c>
      <c r="G20" s="10">
        <f>+G19/G21</f>
        <v>-1.1137084655201204</v>
      </c>
      <c r="H20" s="10">
        <f>+H19/H21</f>
        <v>-0.70539419087136934</v>
      </c>
      <c r="I20" s="10">
        <f>+I19/I21</f>
        <v>-0.2477291494632535</v>
      </c>
      <c r="J20" s="10">
        <f>+J19/J21</f>
        <v>-2.6976284584980235</v>
      </c>
      <c r="K20" s="10">
        <f>+K19/K21</f>
        <v>-5.0861361771944218E-2</v>
      </c>
      <c r="L20" s="10">
        <f>+L19/L21</f>
        <v>-0.57893020221787339</v>
      </c>
    </row>
    <row r="21" spans="1:12" x14ac:dyDescent="0.2">
      <c r="A21" t="s">
        <v>4</v>
      </c>
      <c r="D21" s="3">
        <v>591.70000000000005</v>
      </c>
      <c r="E21" s="3">
        <v>596.4</v>
      </c>
      <c r="F21" s="3">
        <v>596.29999999999995</v>
      </c>
      <c r="G21" s="3">
        <v>598.9</v>
      </c>
      <c r="H21" s="3">
        <v>602.5</v>
      </c>
      <c r="I21" s="3">
        <v>605.5</v>
      </c>
      <c r="J21" s="3">
        <v>607.20000000000005</v>
      </c>
      <c r="K21" s="3">
        <v>609.5</v>
      </c>
      <c r="L21" s="3">
        <v>613.20000000000005</v>
      </c>
    </row>
    <row r="23" spans="1:12" s="9" customFormat="1" x14ac:dyDescent="0.2">
      <c r="A23" s="9" t="s">
        <v>27</v>
      </c>
      <c r="D23" s="9">
        <f>+D9/D6</f>
        <v>2.5230505324851691E-2</v>
      </c>
      <c r="E23" s="9">
        <f>+E9/E6</f>
        <v>0.12757028955098615</v>
      </c>
      <c r="F23" s="9">
        <f>+F9/F6</f>
        <v>-5.107796440210579E-2</v>
      </c>
      <c r="G23" s="9">
        <f>+G9/G6</f>
        <v>9.3293293293293292E-2</v>
      </c>
      <c r="H23" s="9">
        <f>+H9/H6</f>
        <v>0.10730427989509514</v>
      </c>
      <c r="I23" s="9">
        <f>+I9/I6</f>
        <v>9.8172244443319331E-2</v>
      </c>
      <c r="J23" s="9">
        <f>+J9/J6</f>
        <v>6.4350419796730007E-2</v>
      </c>
      <c r="K23" s="9">
        <f>+K9/K6</f>
        <v>0.12249068943591607</v>
      </c>
      <c r="L23" s="9">
        <f>+L9/L6</f>
        <v>0.11322348964934516</v>
      </c>
    </row>
    <row r="24" spans="1:12" s="9" customFormat="1" x14ac:dyDescent="0.2">
      <c r="A24" s="9" t="s">
        <v>28</v>
      </c>
      <c r="D24" s="9">
        <f>+D14/D6</f>
        <v>-8.3124865985276256E-2</v>
      </c>
      <c r="E24" s="9">
        <f>+E14/E6</f>
        <v>4.6699838139200291E-2</v>
      </c>
      <c r="F24" s="9">
        <f>+F14/F6</f>
        <v>-0.17498119829531211</v>
      </c>
      <c r="G24" s="9">
        <f>+G14/G6</f>
        <v>-1.7467467467467468E-2</v>
      </c>
      <c r="H24" s="9">
        <f>+H14/H6</f>
        <v>-8.3142681769990522E-3</v>
      </c>
      <c r="I24" s="9">
        <f>+I14/I6</f>
        <v>-5.0630347830489591E-3</v>
      </c>
      <c r="J24" s="9">
        <f>+J14/J6</f>
        <v>-4.4631020768890854E-2</v>
      </c>
      <c r="K24" s="9">
        <f>+K14/K6</f>
        <v>1.2807702788627487E-2</v>
      </c>
      <c r="L24" s="9">
        <f>+L14/L6</f>
        <v>-5.1904158368036692E-3</v>
      </c>
    </row>
    <row r="25" spans="1:12" s="9" customFormat="1" x14ac:dyDescent="0.2">
      <c r="A25" s="9" t="s">
        <v>29</v>
      </c>
      <c r="D25" s="9">
        <f>+D19/D6</f>
        <v>-8.8842827531984844E-2</v>
      </c>
      <c r="E25" s="9">
        <f>+E19/E6</f>
        <v>9.5318026497212393E-3</v>
      </c>
      <c r="F25" s="9">
        <f>+F19/F6</f>
        <v>-0.20732013035848584</v>
      </c>
      <c r="G25" s="9">
        <f>+G19/G6</f>
        <v>-3.3383383383383383E-2</v>
      </c>
      <c r="H25" s="9">
        <f>+H19/H6</f>
        <v>-2.3715194464594611E-2</v>
      </c>
      <c r="I25" s="9">
        <f>+I19/I6</f>
        <v>-7.5945521745734391E-3</v>
      </c>
      <c r="J25" s="9">
        <f>+J19/J6</f>
        <v>-9.0477242598320809E-2</v>
      </c>
      <c r="K25" s="9">
        <f>+K19/K6</f>
        <v>-1.407938959033518E-3</v>
      </c>
      <c r="L25" s="9">
        <f>+L19/L6</f>
        <v>-2.142555374494538E-2</v>
      </c>
    </row>
    <row r="26" spans="1:12" s="9" customFormat="1" x14ac:dyDescent="0.2">
      <c r="A26" s="9" t="s">
        <v>30</v>
      </c>
      <c r="D26" s="9">
        <f>+D18/D17</f>
        <v>0.23224212476837555</v>
      </c>
      <c r="E26" s="9">
        <f>+E18/E17</f>
        <v>0.5771276595744681</v>
      </c>
      <c r="F26" s="9">
        <f>+F18/F17</f>
        <v>-5.6194125159642401E-2</v>
      </c>
      <c r="G26" s="9">
        <f>+G18/G17</f>
        <v>-2.1439509954058193E-2</v>
      </c>
      <c r="H26" s="9">
        <f>+H18/H17</f>
        <v>0.14314516129032259</v>
      </c>
      <c r="I26" s="9">
        <f>+I18/I17</f>
        <v>0.62593516209476308</v>
      </c>
      <c r="J26" s="9">
        <f>+J18/J17</f>
        <v>-0.48909090909090908</v>
      </c>
      <c r="K26" s="9">
        <f>+K18/K17</f>
        <v>-2.1</v>
      </c>
      <c r="L26" s="9">
        <f>+L18/L17</f>
        <v>6.0846560846560843E-2</v>
      </c>
    </row>
    <row r="27" spans="1:12" s="9" customFormat="1" x14ac:dyDescent="0.2"/>
    <row r="28" spans="1:12" s="9" customFormat="1" x14ac:dyDescent="0.2">
      <c r="A28" s="9" t="s">
        <v>31</v>
      </c>
      <c r="D28" s="9" t="e">
        <f>+D6/#REF!-1</f>
        <v>#REF!</v>
      </c>
      <c r="E28" s="9" t="e">
        <f>+E6/A6-1</f>
        <v>#VALUE!</v>
      </c>
      <c r="F28" s="9" t="e">
        <f>+F6/B6-1</f>
        <v>#DIV/0!</v>
      </c>
      <c r="G28" s="9" t="e">
        <f>+G6/C6-1</f>
        <v>#DIV/0!</v>
      </c>
      <c r="H28" s="9">
        <f>+H6/D6-1</f>
        <v>0.28089486098205985</v>
      </c>
      <c r="I28" s="9">
        <f>+I6/E6-1</f>
        <v>0.18404172411725916</v>
      </c>
      <c r="J28" s="9">
        <f>+J6/F6-1</f>
        <v>0.13462020556530452</v>
      </c>
      <c r="K28" s="9">
        <f>+K6/G6-1</f>
        <v>0.10200200200200205</v>
      </c>
      <c r="L28" s="9">
        <f>+L6/H6-1</f>
        <v>-7.5442218626192714E-2</v>
      </c>
    </row>
    <row r="30" spans="1:12" x14ac:dyDescent="0.2">
      <c r="A30" s="9" t="s">
        <v>39</v>
      </c>
      <c r="G30" s="3">
        <f>+G31-G46</f>
        <v>-39781</v>
      </c>
      <c r="H30" s="3">
        <f>+H31-H46</f>
        <v>4643</v>
      </c>
      <c r="I30" s="3">
        <f>+I31-I46</f>
        <v>6563</v>
      </c>
    </row>
    <row r="31" spans="1:12" x14ac:dyDescent="0.2">
      <c r="A31" s="9" t="s">
        <v>6</v>
      </c>
      <c r="G31" s="3">
        <f>14614+2606</f>
        <v>17220</v>
      </c>
      <c r="H31" s="3">
        <f>10812+3955</f>
        <v>14767</v>
      </c>
      <c r="I31" s="3">
        <v>16687</v>
      </c>
    </row>
    <row r="32" spans="1:12" x14ac:dyDescent="0.2">
      <c r="A32" s="9" t="s">
        <v>40</v>
      </c>
      <c r="G32" s="3">
        <v>2517</v>
      </c>
      <c r="H32" s="3">
        <v>2862</v>
      </c>
      <c r="I32" s="3">
        <v>2862</v>
      </c>
    </row>
    <row r="33" spans="1:9" x14ac:dyDescent="0.2">
      <c r="A33" s="9" t="s">
        <v>41</v>
      </c>
      <c r="G33" s="3">
        <v>8634</v>
      </c>
      <c r="H33" s="3">
        <v>9689</v>
      </c>
      <c r="I33" s="3">
        <v>9689</v>
      </c>
    </row>
    <row r="34" spans="1:9" x14ac:dyDescent="0.2">
      <c r="A34" s="9" t="s">
        <v>42</v>
      </c>
      <c r="G34" s="3">
        <f>154+1450</f>
        <v>1604</v>
      </c>
      <c r="H34" s="3">
        <f>133+1372</f>
        <v>1505</v>
      </c>
      <c r="I34" s="3">
        <f>133+1372</f>
        <v>1505</v>
      </c>
    </row>
    <row r="35" spans="1:9" x14ac:dyDescent="0.2">
      <c r="A35" s="9" t="s">
        <v>43</v>
      </c>
      <c r="G35" s="3">
        <v>78151</v>
      </c>
      <c r="H35" s="3">
        <v>78503</v>
      </c>
      <c r="I35" s="3">
        <v>78503</v>
      </c>
    </row>
    <row r="36" spans="1:9" x14ac:dyDescent="0.2">
      <c r="A36" s="9" t="s">
        <v>18</v>
      </c>
      <c r="G36" s="3">
        <v>2847</v>
      </c>
      <c r="H36" s="3">
        <v>2857</v>
      </c>
      <c r="I36" s="3">
        <v>2857</v>
      </c>
    </row>
    <row r="37" spans="1:9" x14ac:dyDescent="0.2">
      <c r="A37" s="9" t="s">
        <v>54</v>
      </c>
      <c r="G37" s="3">
        <v>10550</v>
      </c>
      <c r="H37" s="3">
        <v>10493</v>
      </c>
      <c r="I37" s="3">
        <v>10493</v>
      </c>
    </row>
    <row r="38" spans="1:9" x14ac:dyDescent="0.2">
      <c r="A38" s="9" t="s">
        <v>55</v>
      </c>
      <c r="G38" s="3">
        <f>8057+2311</f>
        <v>10368</v>
      </c>
      <c r="H38" s="3">
        <f>8063+2254</f>
        <v>10317</v>
      </c>
      <c r="I38" s="3">
        <f>8063+2254</f>
        <v>10317</v>
      </c>
    </row>
    <row r="39" spans="1:9" x14ac:dyDescent="0.2">
      <c r="A39" s="9" t="s">
        <v>53</v>
      </c>
      <c r="G39" s="3">
        <v>63</v>
      </c>
      <c r="H39" s="3">
        <v>65</v>
      </c>
      <c r="I39" s="3">
        <v>65</v>
      </c>
    </row>
    <row r="40" spans="1:9" x14ac:dyDescent="0.2">
      <c r="A40" s="9" t="s">
        <v>56</v>
      </c>
      <c r="G40" s="3">
        <v>983</v>
      </c>
      <c r="H40" s="3">
        <v>969</v>
      </c>
      <c r="I40" s="3">
        <v>969</v>
      </c>
    </row>
    <row r="41" spans="1:9" x14ac:dyDescent="0.2">
      <c r="A41" s="9" t="s">
        <v>18</v>
      </c>
      <c r="G41" s="3">
        <v>4163</v>
      </c>
      <c r="H41" s="3">
        <v>4320</v>
      </c>
      <c r="I41" s="3">
        <v>4320</v>
      </c>
    </row>
    <row r="42" spans="1:9" s="6" customFormat="1" x14ac:dyDescent="0.2">
      <c r="A42" s="13" t="s">
        <v>44</v>
      </c>
      <c r="G42" s="6">
        <f>SUM(G31:G41)</f>
        <v>137100</v>
      </c>
      <c r="H42" s="6">
        <f>SUM(H31:H41)</f>
        <v>136347</v>
      </c>
      <c r="I42" s="6">
        <f>SUM(I31:I41)</f>
        <v>138267</v>
      </c>
    </row>
    <row r="43" spans="1:9" x14ac:dyDescent="0.2">
      <c r="A43" s="9" t="s">
        <v>45</v>
      </c>
      <c r="G43" s="3">
        <v>10200</v>
      </c>
      <c r="H43" s="3">
        <v>10274</v>
      </c>
      <c r="I43" s="3">
        <v>10274</v>
      </c>
    </row>
    <row r="44" spans="1:9" x14ac:dyDescent="0.2">
      <c r="A44" s="9" t="s">
        <v>51</v>
      </c>
      <c r="G44" s="3">
        <v>21581</v>
      </c>
      <c r="H44" s="3">
        <v>20812</v>
      </c>
      <c r="I44" s="3">
        <v>20812</v>
      </c>
    </row>
    <row r="45" spans="1:9" x14ac:dyDescent="0.2">
      <c r="A45" s="9" t="s">
        <v>52</v>
      </c>
      <c r="G45" s="3">
        <v>53081</v>
      </c>
      <c r="H45" s="3">
        <v>54498</v>
      </c>
      <c r="I45" s="3">
        <v>54498</v>
      </c>
    </row>
    <row r="46" spans="1:9" x14ac:dyDescent="0.2">
      <c r="A46" s="9" t="s">
        <v>7</v>
      </c>
      <c r="G46" s="3">
        <f>5190+51811</f>
        <v>57001</v>
      </c>
      <c r="H46" s="3">
        <f>7926+2198</f>
        <v>10124</v>
      </c>
      <c r="I46" s="3">
        <f>7926+2198</f>
        <v>10124</v>
      </c>
    </row>
    <row r="47" spans="1:9" x14ac:dyDescent="0.2">
      <c r="A47" s="9" t="s">
        <v>53</v>
      </c>
      <c r="G47" s="3">
        <v>230</v>
      </c>
      <c r="H47" s="3">
        <v>194</v>
      </c>
      <c r="I47" s="3">
        <v>194</v>
      </c>
    </row>
    <row r="48" spans="1:9" x14ac:dyDescent="0.2">
      <c r="A48" s="9" t="s">
        <v>46</v>
      </c>
      <c r="G48" s="3">
        <v>2503</v>
      </c>
      <c r="H48" s="3">
        <v>2466</v>
      </c>
      <c r="I48" s="3">
        <v>2466</v>
      </c>
    </row>
    <row r="49" spans="1:9" x14ac:dyDescent="0.2">
      <c r="A49" s="9" t="s">
        <v>47</v>
      </c>
      <c r="G49" s="3">
        <v>6141</v>
      </c>
      <c r="H49" s="3">
        <v>5998</v>
      </c>
      <c r="I49" s="3">
        <v>5998</v>
      </c>
    </row>
    <row r="50" spans="1:9" x14ac:dyDescent="0.2">
      <c r="A50" s="9" t="s">
        <v>18</v>
      </c>
      <c r="G50" s="3">
        <v>2211</v>
      </c>
      <c r="H50" s="3">
        <v>47465</v>
      </c>
      <c r="I50" s="3">
        <v>47465</v>
      </c>
    </row>
    <row r="51" spans="1:9" s="6" customFormat="1" x14ac:dyDescent="0.2">
      <c r="A51" s="13" t="s">
        <v>48</v>
      </c>
      <c r="G51" s="6">
        <f>SUM(G43:G50)</f>
        <v>152948</v>
      </c>
      <c r="H51" s="6">
        <f>SUM(H43:H50)</f>
        <v>151831</v>
      </c>
      <c r="I51" s="6">
        <f>SUM(I43:I50)</f>
        <v>151831</v>
      </c>
    </row>
    <row r="52" spans="1:9" s="6" customFormat="1" x14ac:dyDescent="0.2">
      <c r="A52" s="9" t="s">
        <v>49</v>
      </c>
      <c r="G52" s="6">
        <f>+G42-G51</f>
        <v>-15848</v>
      </c>
      <c r="H52" s="6">
        <f>+H42-H51</f>
        <v>-15484</v>
      </c>
      <c r="I52" s="6">
        <f>+I42-I51</f>
        <v>-13564</v>
      </c>
    </row>
    <row r="53" spans="1:9" x14ac:dyDescent="0.2">
      <c r="A53" s="9" t="s">
        <v>50</v>
      </c>
      <c r="G53" s="3">
        <f>+G52+G51</f>
        <v>137100</v>
      </c>
      <c r="H53" s="3">
        <f>+H52+H51</f>
        <v>136347</v>
      </c>
      <c r="I53" s="3">
        <f>+I52+I51</f>
        <v>138267</v>
      </c>
    </row>
    <row r="54" spans="1:9" x14ac:dyDescent="0.2">
      <c r="A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2024-04-26T07:17:18Z</dcterms:created>
  <dcterms:modified xsi:type="dcterms:W3CDTF">2024-04-26T10:46:15Z</dcterms:modified>
</cp:coreProperties>
</file>