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Travel Service\"/>
    </mc:Choice>
  </mc:AlternateContent>
  <xr:revisionPtr revIDLastSave="0" documentId="13_ncr:1_{928242D6-5AD2-4BD2-968B-C25F34CA696B}" xr6:coauthVersionLast="47" xr6:coauthVersionMax="47" xr10:uidLastSave="{00000000-0000-0000-0000-000000000000}"/>
  <bookViews>
    <workbookView xWindow="90" yWindow="105" windowWidth="14415" windowHeight="15300" activeTab="1" xr2:uid="{CB8D4B0D-9D97-43BC-82B9-84854A584A7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3" i="2" l="1"/>
  <c r="AH33" i="2"/>
  <c r="AG33" i="2"/>
  <c r="AF33" i="2"/>
  <c r="AE33" i="2"/>
  <c r="AD33" i="2"/>
  <c r="AC33" i="2"/>
  <c r="AB33" i="2"/>
  <c r="AA33" i="2"/>
  <c r="Z33" i="2"/>
  <c r="AI32" i="2"/>
  <c r="AH32" i="2"/>
  <c r="AG32" i="2"/>
  <c r="AF32" i="2"/>
  <c r="AE32" i="2"/>
  <c r="AD32" i="2"/>
  <c r="AC32" i="2"/>
  <c r="AB32" i="2"/>
  <c r="AA32" i="2"/>
  <c r="Z32" i="2"/>
  <c r="AI31" i="2"/>
  <c r="AH31" i="2"/>
  <c r="AG31" i="2"/>
  <c r="AF31" i="2"/>
  <c r="AE31" i="2"/>
  <c r="AD31" i="2"/>
  <c r="AC31" i="2"/>
  <c r="AB31" i="2"/>
  <c r="AA31" i="2"/>
  <c r="Z31" i="2"/>
  <c r="AL31" i="2"/>
  <c r="AL29" i="2"/>
  <c r="AL26" i="2"/>
  <c r="AK21" i="2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Y21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BJ21" i="2" s="1"/>
  <c r="BK21" i="2" s="1"/>
  <c r="BL21" i="2" s="1"/>
  <c r="BM21" i="2" s="1"/>
  <c r="BN21" i="2" s="1"/>
  <c r="BO21" i="2" s="1"/>
  <c r="BP21" i="2" s="1"/>
  <c r="BQ21" i="2" s="1"/>
  <c r="BR21" i="2" s="1"/>
  <c r="BS21" i="2" s="1"/>
  <c r="BT21" i="2" s="1"/>
  <c r="BU21" i="2" s="1"/>
  <c r="BV21" i="2" s="1"/>
  <c r="BW21" i="2" s="1"/>
  <c r="BX21" i="2" s="1"/>
  <c r="BY21" i="2" s="1"/>
  <c r="BZ21" i="2" s="1"/>
  <c r="CA21" i="2" s="1"/>
  <c r="CB21" i="2" s="1"/>
  <c r="CC21" i="2" s="1"/>
  <c r="CD21" i="2" s="1"/>
  <c r="CE21" i="2" s="1"/>
  <c r="CF21" i="2" s="1"/>
  <c r="CG21" i="2" s="1"/>
  <c r="CH21" i="2" s="1"/>
  <c r="CI21" i="2" s="1"/>
  <c r="CJ21" i="2" s="1"/>
  <c r="CK21" i="2" s="1"/>
  <c r="CL21" i="2" s="1"/>
  <c r="CM21" i="2" s="1"/>
  <c r="CN21" i="2" s="1"/>
  <c r="CO21" i="2" s="1"/>
  <c r="CP21" i="2" s="1"/>
  <c r="CQ21" i="2" s="1"/>
  <c r="CR21" i="2" s="1"/>
  <c r="CS21" i="2" s="1"/>
  <c r="CT21" i="2" s="1"/>
  <c r="CU21" i="2" s="1"/>
  <c r="CV21" i="2" s="1"/>
  <c r="CW21" i="2" s="1"/>
  <c r="CX21" i="2" s="1"/>
  <c r="CY21" i="2" s="1"/>
  <c r="CZ21" i="2" s="1"/>
  <c r="DA21" i="2" s="1"/>
  <c r="DB21" i="2" s="1"/>
  <c r="DC21" i="2" s="1"/>
  <c r="DD21" i="2" s="1"/>
  <c r="DE21" i="2" s="1"/>
  <c r="DF21" i="2" s="1"/>
  <c r="DG21" i="2" s="1"/>
  <c r="DH21" i="2" s="1"/>
  <c r="DI21" i="2" s="1"/>
  <c r="DJ21" i="2" s="1"/>
  <c r="DK21" i="2" s="1"/>
  <c r="DL21" i="2" s="1"/>
  <c r="DM21" i="2" s="1"/>
  <c r="DN21" i="2" s="1"/>
  <c r="DO21" i="2" s="1"/>
  <c r="DP21" i="2" s="1"/>
  <c r="DQ21" i="2" s="1"/>
  <c r="DR21" i="2" s="1"/>
  <c r="DS21" i="2" s="1"/>
  <c r="DT21" i="2" s="1"/>
  <c r="DU21" i="2" s="1"/>
  <c r="DV21" i="2" s="1"/>
  <c r="DW21" i="2" s="1"/>
  <c r="DX21" i="2" s="1"/>
  <c r="DY21" i="2" s="1"/>
  <c r="DZ21" i="2" s="1"/>
  <c r="EA21" i="2" s="1"/>
  <c r="EB21" i="2" s="1"/>
  <c r="EC21" i="2" s="1"/>
  <c r="ED21" i="2" s="1"/>
  <c r="EE21" i="2" s="1"/>
  <c r="EF21" i="2" s="1"/>
  <c r="AJ21" i="2"/>
  <c r="AL28" i="2"/>
  <c r="AL27" i="2"/>
  <c r="AB17" i="2" l="1"/>
  <c r="AB19" i="2" s="1"/>
  <c r="AA35" i="2"/>
  <c r="AA17" i="2"/>
  <c r="AA19" i="2" s="1"/>
  <c r="Z35" i="2"/>
  <c r="Z22" i="2"/>
  <c r="AA23" i="2"/>
  <c r="AB23" i="2" s="1"/>
  <c r="AC23" i="2" s="1"/>
  <c r="AD23" i="2" s="1"/>
  <c r="AE23" i="2" s="1"/>
  <c r="AF23" i="2" s="1"/>
  <c r="AG23" i="2" s="1"/>
  <c r="AH23" i="2" s="1"/>
  <c r="AI23" i="2" s="1"/>
  <c r="Z23" i="2"/>
  <c r="Z21" i="2"/>
  <c r="Z20" i="2"/>
  <c r="Z19" i="2"/>
  <c r="Y35" i="2"/>
  <c r="AI15" i="2"/>
  <c r="AH15" i="2"/>
  <c r="AC15" i="2"/>
  <c r="AB15" i="2"/>
  <c r="AI14" i="2"/>
  <c r="AH14" i="2"/>
  <c r="AG14" i="2"/>
  <c r="AG15" i="2" s="1"/>
  <c r="AF14" i="2"/>
  <c r="AF15" i="2" s="1"/>
  <c r="AE14" i="2"/>
  <c r="AE15" i="2" s="1"/>
  <c r="AD14" i="2"/>
  <c r="AD15" i="2" s="1"/>
  <c r="AC14" i="2"/>
  <c r="AB14" i="2"/>
  <c r="AA14" i="2"/>
  <c r="AA15" i="2" s="1"/>
  <c r="Z14" i="2"/>
  <c r="Z15" i="2" s="1"/>
  <c r="AI11" i="2"/>
  <c r="AH11" i="2"/>
  <c r="AG11" i="2"/>
  <c r="AF11" i="2"/>
  <c r="AE11" i="2"/>
  <c r="AD11" i="2"/>
  <c r="AC11" i="2"/>
  <c r="AB11" i="2"/>
  <c r="AA11" i="2"/>
  <c r="AI10" i="2"/>
  <c r="AH10" i="2"/>
  <c r="AG10" i="2"/>
  <c r="AF10" i="2"/>
  <c r="AE10" i="2"/>
  <c r="AD10" i="2"/>
  <c r="AC10" i="2"/>
  <c r="AB10" i="2"/>
  <c r="AA10" i="2"/>
  <c r="AI9" i="2"/>
  <c r="AH9" i="2"/>
  <c r="AG9" i="2"/>
  <c r="AF9" i="2"/>
  <c r="AE9" i="2"/>
  <c r="AD9" i="2"/>
  <c r="AC9" i="2"/>
  <c r="AB9" i="2"/>
  <c r="AA9" i="2"/>
  <c r="Z11" i="2"/>
  <c r="Z10" i="2"/>
  <c r="Z9" i="2"/>
  <c r="X26" i="2"/>
  <c r="W26" i="2"/>
  <c r="V26" i="2"/>
  <c r="U26" i="2"/>
  <c r="T26" i="2"/>
  <c r="X25" i="2"/>
  <c r="W25" i="2"/>
  <c r="V25" i="2"/>
  <c r="U25" i="2"/>
  <c r="T25" i="2"/>
  <c r="Y26" i="2"/>
  <c r="Y25" i="2"/>
  <c r="G26" i="2"/>
  <c r="G25" i="2"/>
  <c r="N26" i="2"/>
  <c r="M26" i="2"/>
  <c r="L26" i="2"/>
  <c r="K26" i="2"/>
  <c r="J26" i="2"/>
  <c r="I26" i="2"/>
  <c r="H26" i="2"/>
  <c r="N25" i="2"/>
  <c r="M25" i="2"/>
  <c r="L25" i="2"/>
  <c r="K25" i="2"/>
  <c r="J25" i="2"/>
  <c r="I25" i="2"/>
  <c r="H25" i="2"/>
  <c r="O26" i="2"/>
  <c r="O25" i="2"/>
  <c r="Z13" i="2"/>
  <c r="AA13" i="2" s="1"/>
  <c r="AB13" i="2" s="1"/>
  <c r="AC13" i="2" s="1"/>
  <c r="AD13" i="2" s="1"/>
  <c r="AE13" i="2" s="1"/>
  <c r="AF13" i="2" s="1"/>
  <c r="AG13" i="2" s="1"/>
  <c r="AH13" i="2" s="1"/>
  <c r="AI13" i="2" s="1"/>
  <c r="Z12" i="2"/>
  <c r="AA12" i="2" s="1"/>
  <c r="AB12" i="2" s="1"/>
  <c r="AC12" i="2" s="1"/>
  <c r="AD12" i="2" s="1"/>
  <c r="AE12" i="2" s="1"/>
  <c r="AF12" i="2" s="1"/>
  <c r="AG12" i="2" s="1"/>
  <c r="AH12" i="2" s="1"/>
  <c r="AI12" i="2" s="1"/>
  <c r="X33" i="2"/>
  <c r="W33" i="2"/>
  <c r="V33" i="2"/>
  <c r="U33" i="2"/>
  <c r="X32" i="2"/>
  <c r="W32" i="2"/>
  <c r="V32" i="2"/>
  <c r="U32" i="2"/>
  <c r="Y33" i="2"/>
  <c r="Y32" i="2"/>
  <c r="T14" i="2"/>
  <c r="T8" i="2"/>
  <c r="U14" i="2"/>
  <c r="U8" i="2"/>
  <c r="U31" i="2" s="1"/>
  <c r="V14" i="2"/>
  <c r="V8" i="2"/>
  <c r="W14" i="2"/>
  <c r="W8" i="2"/>
  <c r="X14" i="2"/>
  <c r="X8" i="2"/>
  <c r="Y14" i="2"/>
  <c r="Y8" i="2"/>
  <c r="Z8" i="2" s="1"/>
  <c r="AA8" i="2" s="1"/>
  <c r="AB8" i="2" s="1"/>
  <c r="AC8" i="2" s="1"/>
  <c r="AD8" i="2" s="1"/>
  <c r="AE8" i="2" s="1"/>
  <c r="AF8" i="2" s="1"/>
  <c r="AG8" i="2" s="1"/>
  <c r="AH8" i="2" s="1"/>
  <c r="AI8" i="2" s="1"/>
  <c r="O80" i="2"/>
  <c r="O74" i="2"/>
  <c r="O75" i="2" s="1"/>
  <c r="M69" i="2"/>
  <c r="N69" i="2" s="1"/>
  <c r="L89" i="2"/>
  <c r="M89" i="2" s="1"/>
  <c r="L86" i="2"/>
  <c r="M86" i="2" s="1"/>
  <c r="L85" i="2"/>
  <c r="M85" i="2" s="1"/>
  <c r="L83" i="2"/>
  <c r="M83" i="2" s="1"/>
  <c r="L82" i="2"/>
  <c r="M82" i="2" s="1"/>
  <c r="N82" i="2" s="1"/>
  <c r="L79" i="2"/>
  <c r="L78" i="2"/>
  <c r="L77" i="2"/>
  <c r="M77" i="2" s="1"/>
  <c r="L73" i="2"/>
  <c r="M73" i="2" s="1"/>
  <c r="L72" i="2"/>
  <c r="M72" i="2" s="1"/>
  <c r="L71" i="2"/>
  <c r="L70" i="2"/>
  <c r="M70" i="2" s="1"/>
  <c r="L68" i="2"/>
  <c r="L67" i="2"/>
  <c r="M67" i="2" s="1"/>
  <c r="L66" i="2"/>
  <c r="M66" i="2" s="1"/>
  <c r="N66" i="2" s="1"/>
  <c r="L65" i="2"/>
  <c r="M65" i="2" s="1"/>
  <c r="L64" i="2"/>
  <c r="M64" i="2" s="1"/>
  <c r="L63" i="2"/>
  <c r="M63" i="2" s="1"/>
  <c r="L62" i="2"/>
  <c r="M62" i="2" s="1"/>
  <c r="L61" i="2"/>
  <c r="M61" i="2" s="1"/>
  <c r="O48" i="2"/>
  <c r="O53" i="2" s="1"/>
  <c r="O42" i="2"/>
  <c r="O36" i="2"/>
  <c r="N48" i="2"/>
  <c r="N53" i="2" s="1"/>
  <c r="N42" i="2"/>
  <c r="N36" i="2"/>
  <c r="M48" i="2"/>
  <c r="M53" i="2" s="1"/>
  <c r="M42" i="2"/>
  <c r="M36" i="2"/>
  <c r="L48" i="2"/>
  <c r="L53" i="2" s="1"/>
  <c r="L42" i="2"/>
  <c r="L36" i="2"/>
  <c r="J14" i="2"/>
  <c r="J8" i="2"/>
  <c r="N14" i="2"/>
  <c r="N8" i="2"/>
  <c r="I14" i="2"/>
  <c r="I8" i="2"/>
  <c r="I31" i="2" s="1"/>
  <c r="M14" i="2"/>
  <c r="M8" i="2"/>
  <c r="H14" i="2"/>
  <c r="H8" i="2"/>
  <c r="H31" i="2" s="1"/>
  <c r="L14" i="2"/>
  <c r="L8" i="2"/>
  <c r="G87" i="2"/>
  <c r="G80" i="2"/>
  <c r="G74" i="2"/>
  <c r="G75" i="2" s="1"/>
  <c r="K87" i="2"/>
  <c r="K80" i="2"/>
  <c r="K74" i="2"/>
  <c r="K75" i="2" s="1"/>
  <c r="J48" i="2"/>
  <c r="J53" i="2" s="1"/>
  <c r="J42" i="2"/>
  <c r="J36" i="2"/>
  <c r="K48" i="2"/>
  <c r="K53" i="2" s="1"/>
  <c r="K42" i="2"/>
  <c r="K36" i="2"/>
  <c r="G14" i="2"/>
  <c r="G8" i="2"/>
  <c r="K14" i="2"/>
  <c r="K8" i="2"/>
  <c r="O14" i="2"/>
  <c r="O8" i="2"/>
  <c r="U4" i="2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J9" i="1"/>
  <c r="J8" i="1"/>
  <c r="J7" i="1"/>
  <c r="AB20" i="2" l="1"/>
  <c r="AB21" i="2" s="1"/>
  <c r="AA20" i="2"/>
  <c r="AA21" i="2" s="1"/>
  <c r="AA22" i="2" s="1"/>
  <c r="L35" i="2"/>
  <c r="J10" i="1"/>
  <c r="J11" i="1" s="1"/>
  <c r="K90" i="2"/>
  <c r="N72" i="2"/>
  <c r="M71" i="2"/>
  <c r="N71" i="2" s="1"/>
  <c r="M78" i="2"/>
  <c r="N78" i="2" s="1"/>
  <c r="M79" i="2"/>
  <c r="N79" i="2" s="1"/>
  <c r="N64" i="2"/>
  <c r="N70" i="2"/>
  <c r="N63" i="2"/>
  <c r="M68" i="2"/>
  <c r="N68" i="2" s="1"/>
  <c r="T15" i="2"/>
  <c r="T19" i="2" s="1"/>
  <c r="U15" i="2"/>
  <c r="V31" i="2"/>
  <c r="V15" i="2"/>
  <c r="V19" i="2" s="1"/>
  <c r="W31" i="2"/>
  <c r="X31" i="2"/>
  <c r="W15" i="2"/>
  <c r="X15" i="2"/>
  <c r="X19" i="2" s="1"/>
  <c r="Y31" i="2"/>
  <c r="Y15" i="2"/>
  <c r="Y27" i="2" s="1"/>
  <c r="N89" i="2"/>
  <c r="O89" i="2" s="1"/>
  <c r="N61" i="2"/>
  <c r="N73" i="2"/>
  <c r="O44" i="2"/>
  <c r="O54" i="2" s="1"/>
  <c r="O55" i="2" s="1"/>
  <c r="N62" i="2"/>
  <c r="N77" i="2"/>
  <c r="N65" i="2"/>
  <c r="N83" i="2"/>
  <c r="L80" i="2"/>
  <c r="N67" i="2"/>
  <c r="N85" i="2"/>
  <c r="M44" i="2"/>
  <c r="M54" i="2" s="1"/>
  <c r="M55" i="2" s="1"/>
  <c r="N86" i="2"/>
  <c r="O87" i="2" s="1"/>
  <c r="N44" i="2"/>
  <c r="N54" i="2" s="1"/>
  <c r="N55" i="2" s="1"/>
  <c r="M87" i="2"/>
  <c r="L87" i="2"/>
  <c r="L74" i="2"/>
  <c r="L75" i="2" s="1"/>
  <c r="O35" i="2"/>
  <c r="N35" i="2"/>
  <c r="M35" i="2"/>
  <c r="L44" i="2"/>
  <c r="L54" i="2" s="1"/>
  <c r="L55" i="2" s="1"/>
  <c r="J15" i="2"/>
  <c r="J27" i="2" s="1"/>
  <c r="J31" i="2"/>
  <c r="N15" i="2"/>
  <c r="N27" i="2" s="1"/>
  <c r="N31" i="2"/>
  <c r="I15" i="2"/>
  <c r="M15" i="2"/>
  <c r="M27" i="2" s="1"/>
  <c r="M31" i="2"/>
  <c r="L31" i="2"/>
  <c r="H15" i="2"/>
  <c r="L15" i="2"/>
  <c r="G90" i="2"/>
  <c r="O15" i="2"/>
  <c r="O19" i="2" s="1"/>
  <c r="K35" i="2"/>
  <c r="K31" i="2"/>
  <c r="J44" i="2"/>
  <c r="J54" i="2" s="1"/>
  <c r="J55" i="2" s="1"/>
  <c r="K44" i="2"/>
  <c r="K54" i="2" s="1"/>
  <c r="K55" i="2" s="1"/>
  <c r="J35" i="2"/>
  <c r="O31" i="2"/>
  <c r="G15" i="2"/>
  <c r="K15" i="2"/>
  <c r="AB22" i="2" l="1"/>
  <c r="AB35" i="2"/>
  <c r="M74" i="2"/>
  <c r="M75" i="2" s="1"/>
  <c r="M90" i="2" s="1"/>
  <c r="N74" i="2"/>
  <c r="O90" i="2"/>
  <c r="M80" i="2"/>
  <c r="N87" i="2"/>
  <c r="N80" i="2"/>
  <c r="T27" i="2"/>
  <c r="T29" i="2"/>
  <c r="T21" i="2"/>
  <c r="U27" i="2"/>
  <c r="U19" i="2"/>
  <c r="V27" i="2"/>
  <c r="V21" i="2"/>
  <c r="V29" i="2"/>
  <c r="W27" i="2"/>
  <c r="W19" i="2"/>
  <c r="X27" i="2"/>
  <c r="X21" i="2"/>
  <c r="X29" i="2"/>
  <c r="Y19" i="2"/>
  <c r="Y21" i="2" s="1"/>
  <c r="N75" i="2"/>
  <c r="L90" i="2"/>
  <c r="J19" i="2"/>
  <c r="J21" i="2" s="1"/>
  <c r="N19" i="2"/>
  <c r="N21" i="2" s="1"/>
  <c r="N60" i="2" s="1"/>
  <c r="I27" i="2"/>
  <c r="I19" i="2"/>
  <c r="M19" i="2"/>
  <c r="M29" i="2" s="1"/>
  <c r="H19" i="2"/>
  <c r="H27" i="2"/>
  <c r="L19" i="2"/>
  <c r="L27" i="2"/>
  <c r="O27" i="2"/>
  <c r="G19" i="2"/>
  <c r="G27" i="2"/>
  <c r="O21" i="2"/>
  <c r="O60" i="2" s="1"/>
  <c r="O29" i="2"/>
  <c r="K19" i="2"/>
  <c r="K27" i="2"/>
  <c r="AC17" i="2" l="1"/>
  <c r="AC19" i="2" s="1"/>
  <c r="N90" i="2"/>
  <c r="N92" i="2"/>
  <c r="T28" i="2"/>
  <c r="T22" i="2"/>
  <c r="U29" i="2"/>
  <c r="U21" i="2"/>
  <c r="V28" i="2"/>
  <c r="V22" i="2"/>
  <c r="W29" i="2"/>
  <c r="W21" i="2"/>
  <c r="X22" i="2"/>
  <c r="X28" i="2"/>
  <c r="Y29" i="2"/>
  <c r="Y22" i="2"/>
  <c r="Y28" i="2"/>
  <c r="J29" i="2"/>
  <c r="J28" i="2"/>
  <c r="J22" i="2"/>
  <c r="N29" i="2"/>
  <c r="N28" i="2"/>
  <c r="N22" i="2"/>
  <c r="I29" i="2"/>
  <c r="I21" i="2"/>
  <c r="M21" i="2"/>
  <c r="H29" i="2"/>
  <c r="H21" i="2"/>
  <c r="L21" i="2"/>
  <c r="L60" i="2" s="1"/>
  <c r="L29" i="2"/>
  <c r="O22" i="2"/>
  <c r="O28" i="2"/>
  <c r="G21" i="2"/>
  <c r="G60" i="2" s="1"/>
  <c r="G29" i="2"/>
  <c r="K21" i="2"/>
  <c r="K29" i="2"/>
  <c r="AC20" i="2" l="1"/>
  <c r="AC21" i="2"/>
  <c r="K60" i="2"/>
  <c r="N57" i="2"/>
  <c r="U28" i="2"/>
  <c r="U22" i="2"/>
  <c r="W28" i="2"/>
  <c r="W22" i="2"/>
  <c r="M22" i="2"/>
  <c r="M60" i="2"/>
  <c r="I28" i="2"/>
  <c r="I22" i="2"/>
  <c r="M28" i="2"/>
  <c r="H28" i="2"/>
  <c r="H22" i="2"/>
  <c r="L28" i="2"/>
  <c r="L22" i="2"/>
  <c r="G22" i="2"/>
  <c r="G28" i="2"/>
  <c r="K22" i="2"/>
  <c r="K28" i="2"/>
  <c r="AC22" i="2" l="1"/>
  <c r="AC35" i="2"/>
  <c r="O58" i="2"/>
  <c r="M58" i="2"/>
  <c r="L58" i="2"/>
  <c r="K58" i="2"/>
  <c r="J58" i="2"/>
  <c r="N58" i="2"/>
  <c r="AD17" i="2" l="1"/>
  <c r="AD19" i="2" s="1"/>
  <c r="AD20" i="2" l="1"/>
  <c r="AD21" i="2"/>
  <c r="AD22" i="2" l="1"/>
  <c r="AD35" i="2"/>
  <c r="AE17" i="2" l="1"/>
  <c r="AE19" i="2" s="1"/>
  <c r="AE20" i="2" l="1"/>
  <c r="AE21" i="2" s="1"/>
  <c r="AE22" i="2" l="1"/>
  <c r="AE35" i="2"/>
  <c r="AF17" i="2" l="1"/>
  <c r="AF19" i="2" s="1"/>
  <c r="AF20" i="2" l="1"/>
  <c r="AF21" i="2" s="1"/>
  <c r="AF22" i="2" l="1"/>
  <c r="AF35" i="2"/>
  <c r="AG17" i="2" l="1"/>
  <c r="AG19" i="2" s="1"/>
  <c r="AG20" i="2" l="1"/>
  <c r="AG21" i="2" s="1"/>
  <c r="AG22" i="2" l="1"/>
  <c r="AG35" i="2"/>
  <c r="AH17" i="2" l="1"/>
  <c r="AH19" i="2" s="1"/>
  <c r="AH20" i="2" l="1"/>
  <c r="AH21" i="2"/>
  <c r="AH22" i="2" l="1"/>
  <c r="AH35" i="2"/>
  <c r="AI17" i="2" l="1"/>
  <c r="AI19" i="2" s="1"/>
  <c r="AI21" i="2" l="1"/>
  <c r="AI20" i="2"/>
  <c r="AI22" i="2" l="1"/>
  <c r="AI35" i="2"/>
</calcChain>
</file>

<file path=xl/sharedStrings.xml><?xml version="1.0" encoding="utf-8"?>
<sst xmlns="http://schemas.openxmlformats.org/spreadsheetml/2006/main" count="117" uniqueCount="92">
  <si>
    <t>Booking Holdings</t>
  </si>
  <si>
    <t>(BKNG)</t>
  </si>
  <si>
    <t>(in millions)</t>
  </si>
  <si>
    <t>Price</t>
  </si>
  <si>
    <t>Shares</t>
  </si>
  <si>
    <t>MC</t>
  </si>
  <si>
    <t>Cash</t>
  </si>
  <si>
    <t>Debt</t>
  </si>
  <si>
    <t>EV</t>
  </si>
  <si>
    <t>Q124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</si>
  <si>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</si>
  <si>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</si>
  <si>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</si>
  <si>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</si>
  <si>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</si>
  <si>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</si>
  <si>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</si>
  <si>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</si>
  <si>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</si>
  <si>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</si>
  <si>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</si>
  <si>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</si>
  <si>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Q224</t>
  </si>
  <si>
    <t>Q324</t>
  </si>
  <si>
    <t>Q424</t>
  </si>
  <si>
    <t>Interest expense</t>
  </si>
  <si>
    <t>EPS</t>
  </si>
  <si>
    <t>Net income</t>
  </si>
  <si>
    <t>Taxes</t>
  </si>
  <si>
    <t>Pretax</t>
  </si>
  <si>
    <t>Other</t>
  </si>
  <si>
    <t>Interest income</t>
  </si>
  <si>
    <t>Operating income</t>
  </si>
  <si>
    <t>Operating expense</t>
  </si>
  <si>
    <t>Merchant</t>
  </si>
  <si>
    <t>Agency</t>
  </si>
  <si>
    <t>Advertising &amp; other</t>
  </si>
  <si>
    <t>Revenue</t>
  </si>
  <si>
    <t>Marketing</t>
  </si>
  <si>
    <t>Sales</t>
  </si>
  <si>
    <t>Personnel inc SBC</t>
  </si>
  <si>
    <t>G&amp;A</t>
  </si>
  <si>
    <t>R&amp;D</t>
  </si>
  <si>
    <t>Tax rate</t>
  </si>
  <si>
    <t>Revenue y/y</t>
  </si>
  <si>
    <t>Net cash</t>
  </si>
  <si>
    <t>A/R</t>
  </si>
  <si>
    <t>Prepaid</t>
  </si>
  <si>
    <t>PP&amp;E</t>
  </si>
  <si>
    <t>Lease</t>
  </si>
  <si>
    <t>Goodwill</t>
  </si>
  <si>
    <t>Assets</t>
  </si>
  <si>
    <t>A/P</t>
  </si>
  <si>
    <t>Accrued</t>
  </si>
  <si>
    <t>D/R</t>
  </si>
  <si>
    <t>D/T</t>
  </si>
  <si>
    <t>Liabilities</t>
  </si>
  <si>
    <t>S/E</t>
  </si>
  <si>
    <t>L+S/E</t>
  </si>
  <si>
    <t>Model NI</t>
  </si>
  <si>
    <t>ROIC</t>
  </si>
  <si>
    <t>TTM net income</t>
  </si>
  <si>
    <t>Reported NI</t>
  </si>
  <si>
    <t>D&amp;A</t>
  </si>
  <si>
    <t>Chargebacks</t>
  </si>
  <si>
    <t>Securities</t>
  </si>
  <si>
    <t>SBC</t>
  </si>
  <si>
    <t>CIC</t>
  </si>
  <si>
    <t>CFFO</t>
  </si>
  <si>
    <t>CapEx</t>
  </si>
  <si>
    <t>Investments</t>
  </si>
  <si>
    <t>CFFI</t>
  </si>
  <si>
    <t>Payment of debt</t>
  </si>
  <si>
    <t>Buybacks</t>
  </si>
  <si>
    <t>Options</t>
  </si>
  <si>
    <t>CFFF</t>
  </si>
  <si>
    <t>FX</t>
  </si>
  <si>
    <t>Working capital</t>
  </si>
  <si>
    <t>Dividends</t>
  </si>
  <si>
    <t>TTM</t>
  </si>
  <si>
    <t>G&amp;A y/y</t>
  </si>
  <si>
    <t>R&amp;D y/y</t>
  </si>
  <si>
    <t>Marketing margin</t>
  </si>
  <si>
    <t>Sales margin</t>
  </si>
  <si>
    <t>Operating margin</t>
  </si>
  <si>
    <t>Net margin</t>
  </si>
  <si>
    <t>Discount rate</t>
  </si>
  <si>
    <t>NPV</t>
  </si>
  <si>
    <t>Total value</t>
  </si>
  <si>
    <t>Per share</t>
  </si>
  <si>
    <t>Current price</t>
  </si>
  <si>
    <t>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</si>
</sst>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7" formatCode="0\x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sz val="2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3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0" fontId="1" fillId="0" borderId="0" xfId="0" applyFont="1"/>
    <xf numFmtId="9" fontId="0" fillId="0" borderId="0" xfId="0" applyNumberFormat="1"/>
    <xf numFmtId="9" fontId="1" fillId="0" borderId="0" xfId="0" applyNumberFormat="1" applyFont="1"/>
    <xf numFmtId="3" fontId="1" fillId="0" borderId="0" xfId="0" applyNumberFormat="1" applyFont="1"/>
    <xf numFmtId="14" fontId="0" fillId="0" borderId="0" xfId="0" applyNumberFormat="1"/>
    <xf numFmtId="9" fontId="0" fillId="0" borderId="0" xfId="0" applyNumberFormat="1" applyAlignment="1">
      <alignment horizontal="left" indent="1"/>
    </xf>
    <xf numFmtId="167" fontId="0" fillId="0" borderId="0" xfId="0" applyNumberFormat="1"/>
    <xf numFmtId="4" fontId="0" fillId="0" borderId="0" xfId="0" applyNumberFormat="1"/>
    <xf numFmtId="9" fontId="0" fillId="0" borderId="0" xfId="0" applyNumberFormat="1" applyFont="1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</xdr:colOff>
      <xdr:row>1</xdr:row>
      <xdr:rowOff>76200</xdr:rowOff>
    </xdr:from>
    <xdr:to>
      <xdr:col>15</xdr:col>
      <xdr:colOff>28575</xdr:colOff>
      <xdr:row>96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364A81C-E2C1-72A6-D4FB-FD2A7E486DD1}"/>
            </a:ext>
          </a:extLst>
        </xdr:cNvPr>
        <xdr:cNvCxnSpPr/>
      </xdr:nvCxnSpPr>
      <xdr:spPr>
        <a:xfrm>
          <a:off x="10391775" y="76200"/>
          <a:ext cx="0" cy="149352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19050</xdr:colOff>
      <xdr:row>1</xdr:row>
      <xdr:rowOff>38100</xdr:rowOff>
    </xdr:from>
    <xdr:to>
      <xdr:col>25</xdr:col>
      <xdr:colOff>19050</xdr:colOff>
      <xdr:row>77</xdr:row>
      <xdr:rowOff>9525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33770A5-0C82-4DE8-B09D-F7F4B55FDDA1}"/>
            </a:ext>
          </a:extLst>
        </xdr:cNvPr>
        <xdr:cNvCxnSpPr/>
      </xdr:nvCxnSpPr>
      <xdr:spPr>
        <a:xfrm>
          <a:off x="15878175" y="38100"/>
          <a:ext cx="0" cy="11258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54A2-3D35-4AD0-B2AA-7B7F4B9B417B}">
  <dimension ref="B2:K11"/>
  <sheetViews>
    <sheetView workbookViewId="0">
      <selection activeCell="J11" sqref="J11"/>
    </sheetView>
  </sheetViews>
  <sheetFormatPr defaultRowHeight="12.75" x14ac:dyDescent="0.2"/>
  <cols>
    <col min="1" max="1" width="2.42578125" customWidth="1"/>
    <col min="2" max="2" width="27.5703125" customWidth="1"/>
  </cols>
  <sheetData>
    <row r="2" spans="2:11" ht="34.5" x14ac:dyDescent="0.45">
      <c r="B2" s="2" t="s">
        <v>0</v>
      </c>
    </row>
    <row r="3" spans="2:11" x14ac:dyDescent="0.2">
      <c r="B3" s="1" t="s">
        <v>1</v>
      </c>
    </row>
    <row r="4" spans="2:11" x14ac:dyDescent="0.2">
      <c r="B4" s="1" t="s">
        <v>2</v>
      </c>
    </row>
    <row r="5" spans="2:11" x14ac:dyDescent="0.2">
      <c r="I5" t="s">
        <v>3</v>
      </c>
      <c r="J5" s="5">
        <v>3800</v>
      </c>
      <c r="K5" s="4"/>
    </row>
    <row r="6" spans="2:11" x14ac:dyDescent="0.2">
      <c r="I6" t="s">
        <v>4</v>
      </c>
      <c r="J6" s="3">
        <v>33.927537000000001</v>
      </c>
      <c r="K6" s="4" t="s">
        <v>9</v>
      </c>
    </row>
    <row r="7" spans="2:11" x14ac:dyDescent="0.2">
      <c r="I7" t="s">
        <v>5</v>
      </c>
      <c r="J7" s="3">
        <f>+J5*J6</f>
        <v>128924.6406</v>
      </c>
      <c r="K7" s="4"/>
    </row>
    <row r="8" spans="2:11" x14ac:dyDescent="0.2">
      <c r="I8" t="s">
        <v>6</v>
      </c>
      <c r="J8" s="3">
        <f>15629+362</f>
        <v>15991</v>
      </c>
      <c r="K8" s="4" t="s">
        <v>9</v>
      </c>
    </row>
    <row r="9" spans="2:11" x14ac:dyDescent="0.2">
      <c r="I9" t="s">
        <v>7</v>
      </c>
      <c r="J9" s="3">
        <f>3462+13438</f>
        <v>16900</v>
      </c>
      <c r="K9" s="4" t="s">
        <v>9</v>
      </c>
    </row>
    <row r="10" spans="2:11" x14ac:dyDescent="0.2">
      <c r="I10" t="s">
        <v>8</v>
      </c>
      <c r="J10" s="3">
        <f>+J7-J8+J9</f>
        <v>129833.6406</v>
      </c>
      <c r="K10" s="4"/>
    </row>
    <row r="11" spans="2:11" x14ac:dyDescent="0.2">
      <c r="J11" s="12">
        <f>+J10/7344</f>
        <v>17.678872630718953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218C3-5D76-4D6D-BE77-8CF904C7B2E7}">
  <dimension ref="B2:EF92"/>
  <sheetViews>
    <sheetView tabSelected="1" workbookViewId="0">
      <pane xSplit="2" ySplit="4" topLeftCell="AF5" activePane="bottomRight" state="frozen"/>
      <selection pane="topRight" activeCell="B1" sqref="B1"/>
      <selection pane="bottomLeft" activeCell="A4" sqref="A4"/>
      <selection pane="bottomRight" activeCell="AL34" sqref="AL34"/>
    </sheetView>
  </sheetViews>
  <sheetFormatPr defaultRowHeight="12.75" x14ac:dyDescent="0.2"/>
  <cols>
    <col min="1" max="1" width="2.7109375" style="3" customWidth="1"/>
    <col min="2" max="2" width="27.5703125" customWidth="1"/>
    <col min="3" max="6" width="9.140625" style="3"/>
    <col min="7" max="15" width="10.140625" style="3" bestFit="1" customWidth="1"/>
    <col min="16" max="36" width="9.140625" style="3"/>
    <col min="37" max="37" width="12.42578125" style="3" bestFit="1" customWidth="1"/>
    <col min="38" max="38" width="10.140625" style="3" bestFit="1" customWidth="1"/>
    <col min="39" max="16384" width="9.140625" style="3"/>
  </cols>
  <sheetData>
    <row r="2" spans="2:35" customFormat="1" ht="34.5" x14ac:dyDescent="0.45">
      <c r="B2" s="2" t="s">
        <v>0</v>
      </c>
    </row>
    <row r="3" spans="2:35" customFormat="1" x14ac:dyDescent="0.2">
      <c r="B3" s="1" t="s">
        <v>1</v>
      </c>
      <c r="G3" s="10">
        <v>44651</v>
      </c>
      <c r="H3" s="10">
        <v>44742</v>
      </c>
      <c r="I3" s="10">
        <v>44834</v>
      </c>
      <c r="J3" s="10">
        <v>44926</v>
      </c>
      <c r="K3" s="10">
        <v>45016</v>
      </c>
      <c r="L3" s="10">
        <v>45107</v>
      </c>
      <c r="M3" s="10">
        <v>45199</v>
      </c>
      <c r="N3" s="10">
        <v>45291</v>
      </c>
      <c r="O3" s="10">
        <v>45382</v>
      </c>
    </row>
    <row r="4" spans="2:35" customFormat="1" x14ac:dyDescent="0.2">
      <c r="B4" s="1" t="s">
        <v>2</v>
      </c>
      <c r="C4" s="4" t="s">
        <v>10</v>
      </c>
      <c r="D4" s="4" t="s">
        <v>11</v>
      </c>
      <c r="E4" s="4" t="s">
        <v>12</v>
      </c>
      <c r="F4" s="4" t="s">
        <v>13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18</v>
      </c>
      <c r="L4" s="4" t="s">
        <v>19</v>
      </c>
      <c r="M4" s="4" t="s">
        <v>20</v>
      </c>
      <c r="N4" s="4" t="s">
        <v>21</v>
      </c>
      <c r="O4" s="4" t="s">
        <v>9</v>
      </c>
      <c r="P4" s="4" t="s">
        <v>22</v>
      </c>
      <c r="Q4" s="4" t="s">
        <v>23</v>
      </c>
      <c r="R4" s="4" t="s">
        <v>24</v>
      </c>
      <c r="T4">
        <v>2018</v>
      </c>
      <c r="U4">
        <f>+T4+1</f>
        <v>2019</v>
      </c>
      <c r="V4">
        <f t="shared" ref="V4:AL4" si="0">+U4+1</f>
        <v>2020</v>
      </c>
      <c r="W4">
        <f t="shared" si="0"/>
        <v>2021</v>
      </c>
      <c r="X4">
        <f t="shared" si="0"/>
        <v>2022</v>
      </c>
      <c r="Y4">
        <f t="shared" si="0"/>
        <v>2023</v>
      </c>
      <c r="Z4">
        <f t="shared" si="0"/>
        <v>2024</v>
      </c>
      <c r="AA4">
        <f t="shared" si="0"/>
        <v>2025</v>
      </c>
      <c r="AB4">
        <f t="shared" si="0"/>
        <v>2026</v>
      </c>
      <c r="AC4">
        <f t="shared" si="0"/>
        <v>2027</v>
      </c>
      <c r="AD4">
        <f t="shared" si="0"/>
        <v>2028</v>
      </c>
      <c r="AE4">
        <f t="shared" si="0"/>
        <v>2029</v>
      </c>
      <c r="AF4">
        <f t="shared" si="0"/>
        <v>2030</v>
      </c>
      <c r="AG4">
        <f t="shared" si="0"/>
        <v>2031</v>
      </c>
      <c r="AH4">
        <f t="shared" si="0"/>
        <v>2032</v>
      </c>
      <c r="AI4">
        <f t="shared" si="0"/>
        <v>2033</v>
      </c>
    </row>
    <row r="5" spans="2:35" x14ac:dyDescent="0.2">
      <c r="B5" t="s">
        <v>34</v>
      </c>
      <c r="G5" s="3">
        <v>1450</v>
      </c>
      <c r="H5" s="3">
        <v>1749</v>
      </c>
      <c r="I5" s="3">
        <v>2614</v>
      </c>
      <c r="J5" s="3">
        <v>1780</v>
      </c>
      <c r="K5" s="3">
        <v>1782</v>
      </c>
      <c r="L5" s="3">
        <v>2770</v>
      </c>
      <c r="M5" s="3">
        <v>3945</v>
      </c>
      <c r="N5" s="3">
        <v>2469</v>
      </c>
      <c r="O5" s="3">
        <v>2388</v>
      </c>
      <c r="T5" s="3">
        <v>2987</v>
      </c>
      <c r="U5" s="3">
        <v>3830</v>
      </c>
      <c r="V5" s="3">
        <v>2117</v>
      </c>
      <c r="W5" s="3">
        <v>3696</v>
      </c>
      <c r="X5" s="3">
        <v>7193</v>
      </c>
      <c r="Y5" s="3">
        <v>10936</v>
      </c>
    </row>
    <row r="6" spans="2:35" x14ac:dyDescent="0.2">
      <c r="B6" t="s">
        <v>35</v>
      </c>
      <c r="G6" s="3">
        <v>1050</v>
      </c>
      <c r="H6" s="3">
        <v>2301</v>
      </c>
      <c r="I6" s="3">
        <v>3203</v>
      </c>
      <c r="J6" s="3">
        <v>2049</v>
      </c>
      <c r="K6" s="3">
        <v>1752</v>
      </c>
      <c r="L6" s="3">
        <v>2429</v>
      </c>
      <c r="M6" s="3">
        <v>3135</v>
      </c>
      <c r="N6" s="3">
        <v>2068</v>
      </c>
      <c r="O6" s="3">
        <v>1763</v>
      </c>
      <c r="T6" s="3">
        <v>10480</v>
      </c>
      <c r="U6" s="3">
        <v>10117</v>
      </c>
      <c r="V6" s="3">
        <v>4314</v>
      </c>
      <c r="W6" s="3">
        <v>6663</v>
      </c>
      <c r="X6" s="3">
        <v>9003</v>
      </c>
      <c r="Y6" s="3">
        <v>9414</v>
      </c>
    </row>
    <row r="7" spans="2:35" x14ac:dyDescent="0.2">
      <c r="B7" t="s">
        <v>36</v>
      </c>
      <c r="G7" s="3">
        <v>195</v>
      </c>
      <c r="H7" s="3">
        <v>244</v>
      </c>
      <c r="I7" s="3">
        <v>235</v>
      </c>
      <c r="J7" s="3">
        <v>220</v>
      </c>
      <c r="K7" s="3">
        <v>244</v>
      </c>
      <c r="L7" s="3">
        <v>263</v>
      </c>
      <c r="M7" s="3">
        <v>261</v>
      </c>
      <c r="N7" s="3">
        <v>247</v>
      </c>
      <c r="O7" s="3">
        <v>264</v>
      </c>
      <c r="T7" s="3">
        <v>1060</v>
      </c>
      <c r="U7" s="3">
        <v>1119</v>
      </c>
      <c r="V7" s="3">
        <v>365</v>
      </c>
      <c r="W7" s="3">
        <v>599</v>
      </c>
      <c r="X7" s="3">
        <v>894</v>
      </c>
      <c r="Y7" s="3">
        <v>1015</v>
      </c>
    </row>
    <row r="8" spans="2:35" s="9" customFormat="1" x14ac:dyDescent="0.2">
      <c r="B8" s="6" t="s">
        <v>37</v>
      </c>
      <c r="G8" s="9">
        <f>+SUM(G5:G7)</f>
        <v>2695</v>
      </c>
      <c r="H8" s="9">
        <f>+SUM(H5:H7)</f>
        <v>4294</v>
      </c>
      <c r="I8" s="9">
        <f>+SUM(I5:I7)</f>
        <v>6052</v>
      </c>
      <c r="J8" s="9">
        <f>+SUM(J5:J7)</f>
        <v>4049</v>
      </c>
      <c r="K8" s="9">
        <f>+SUM(K5:K7)</f>
        <v>3778</v>
      </c>
      <c r="L8" s="9">
        <f>+SUM(L5:L7)</f>
        <v>5462</v>
      </c>
      <c r="M8" s="9">
        <f>+SUM(M5:M7)</f>
        <v>7341</v>
      </c>
      <c r="N8" s="9">
        <f>+SUM(N5:N7)</f>
        <v>4784</v>
      </c>
      <c r="O8" s="9">
        <f>+SUM(O5:O7)</f>
        <v>4415</v>
      </c>
      <c r="T8" s="9">
        <f>+SUM(T5:T7)</f>
        <v>14527</v>
      </c>
      <c r="U8" s="9">
        <f>+SUM(U5:U7)</f>
        <v>15066</v>
      </c>
      <c r="V8" s="9">
        <f>+SUM(V5:V7)</f>
        <v>6796</v>
      </c>
      <c r="W8" s="9">
        <f>+SUM(W5:W7)</f>
        <v>10958</v>
      </c>
      <c r="X8" s="9">
        <f>+SUM(X5:X7)</f>
        <v>17090</v>
      </c>
      <c r="Y8" s="9">
        <f>+SUM(Y5:Y7)</f>
        <v>21365</v>
      </c>
      <c r="Z8" s="9">
        <f>+Y8*1.18</f>
        <v>25210.699999999997</v>
      </c>
      <c r="AA8" s="9">
        <f t="shared" ref="AA8:AD8" si="1">+Z8*1.18</f>
        <v>29748.625999999997</v>
      </c>
      <c r="AB8" s="9">
        <f t="shared" si="1"/>
        <v>35103.378679999994</v>
      </c>
      <c r="AC8" s="9">
        <f t="shared" si="1"/>
        <v>41421.986842399994</v>
      </c>
      <c r="AD8" s="9">
        <f t="shared" si="1"/>
        <v>48877.944474031989</v>
      </c>
      <c r="AE8" s="9">
        <f>+AD8*1.12</f>
        <v>54743.297810915836</v>
      </c>
      <c r="AF8" s="9">
        <f t="shared" ref="AF8:AI8" si="2">+AE8*1.12</f>
        <v>61312.493548225742</v>
      </c>
      <c r="AG8" s="9">
        <f t="shared" si="2"/>
        <v>68669.992774012833</v>
      </c>
      <c r="AH8" s="9">
        <f t="shared" si="2"/>
        <v>76910.39190689438</v>
      </c>
      <c r="AI8" s="9">
        <f t="shared" si="2"/>
        <v>86139.638935721712</v>
      </c>
    </row>
    <row r="9" spans="2:35" x14ac:dyDescent="0.2">
      <c r="B9" t="s">
        <v>38</v>
      </c>
      <c r="G9" s="3">
        <v>1147</v>
      </c>
      <c r="H9" s="3">
        <v>1737</v>
      </c>
      <c r="I9" s="3">
        <v>1795</v>
      </c>
      <c r="J9" s="3">
        <v>1314</v>
      </c>
      <c r="K9" s="3">
        <v>1517</v>
      </c>
      <c r="L9" s="3">
        <v>1801</v>
      </c>
      <c r="M9" s="3">
        <v>2022</v>
      </c>
      <c r="N9" s="3">
        <v>1433</v>
      </c>
      <c r="O9" s="3">
        <v>1610</v>
      </c>
      <c r="T9" s="3">
        <v>4956</v>
      </c>
      <c r="U9" s="3">
        <v>4967</v>
      </c>
      <c r="V9" s="3">
        <v>2179</v>
      </c>
      <c r="W9" s="3">
        <v>3801</v>
      </c>
      <c r="X9" s="3">
        <v>5993</v>
      </c>
      <c r="Y9" s="3">
        <v>6773</v>
      </c>
      <c r="Z9" s="3">
        <f>+Z8*0.3</f>
        <v>7563.2099999999991</v>
      </c>
      <c r="AA9" s="3">
        <f t="shared" ref="AA9:AI9" si="3">+AA8*0.3</f>
        <v>8924.5877999999993</v>
      </c>
      <c r="AB9" s="3">
        <f t="shared" si="3"/>
        <v>10531.013603999998</v>
      </c>
      <c r="AC9" s="3">
        <f t="shared" si="3"/>
        <v>12426.596052719999</v>
      </c>
      <c r="AD9" s="3">
        <f t="shared" si="3"/>
        <v>14663.383342209596</v>
      </c>
      <c r="AE9" s="3">
        <f t="shared" si="3"/>
        <v>16422.989343274749</v>
      </c>
      <c r="AF9" s="3">
        <f t="shared" si="3"/>
        <v>18393.748064467723</v>
      </c>
      <c r="AG9" s="3">
        <f t="shared" si="3"/>
        <v>20600.997832203848</v>
      </c>
      <c r="AH9" s="3">
        <f t="shared" si="3"/>
        <v>23073.117572068313</v>
      </c>
      <c r="AI9" s="3">
        <f t="shared" si="3"/>
        <v>25841.891680716511</v>
      </c>
    </row>
    <row r="10" spans="2:35" x14ac:dyDescent="0.2">
      <c r="B10" t="s">
        <v>39</v>
      </c>
      <c r="G10" s="3">
        <v>339</v>
      </c>
      <c r="H10" s="3">
        <v>465</v>
      </c>
      <c r="I10" s="3">
        <v>540</v>
      </c>
      <c r="J10" s="3">
        <v>511</v>
      </c>
      <c r="K10" s="3">
        <v>542</v>
      </c>
      <c r="L10" s="3">
        <v>666</v>
      </c>
      <c r="M10" s="3">
        <v>723</v>
      </c>
      <c r="N10" s="3">
        <v>650</v>
      </c>
      <c r="O10" s="3">
        <v>678</v>
      </c>
      <c r="T10" s="3">
        <v>830</v>
      </c>
      <c r="U10" s="3">
        <v>955</v>
      </c>
      <c r="V10" s="3">
        <v>755</v>
      </c>
      <c r="W10" s="3">
        <v>979</v>
      </c>
      <c r="X10" s="3">
        <v>1986</v>
      </c>
      <c r="Y10" s="3">
        <v>2744</v>
      </c>
      <c r="Z10" s="3">
        <f>+Z8*0.1</f>
        <v>2521.0699999999997</v>
      </c>
      <c r="AA10" s="3">
        <f t="shared" ref="AA10:AI10" si="4">+AA8*0.1</f>
        <v>2974.8625999999999</v>
      </c>
      <c r="AB10" s="3">
        <f t="shared" si="4"/>
        <v>3510.3378679999996</v>
      </c>
      <c r="AC10" s="3">
        <f t="shared" si="4"/>
        <v>4142.1986842399992</v>
      </c>
      <c r="AD10" s="3">
        <f t="shared" si="4"/>
        <v>4887.7944474031992</v>
      </c>
      <c r="AE10" s="3">
        <f t="shared" si="4"/>
        <v>5474.3297810915838</v>
      </c>
      <c r="AF10" s="3">
        <f t="shared" si="4"/>
        <v>6131.2493548225748</v>
      </c>
      <c r="AG10" s="3">
        <f t="shared" si="4"/>
        <v>6866.9992774012835</v>
      </c>
      <c r="AH10" s="3">
        <f t="shared" si="4"/>
        <v>7691.0391906894383</v>
      </c>
      <c r="AI10" s="3">
        <f t="shared" si="4"/>
        <v>8613.9638935721723</v>
      </c>
    </row>
    <row r="11" spans="2:35" x14ac:dyDescent="0.2">
      <c r="B11" t="s">
        <v>40</v>
      </c>
      <c r="G11" s="3">
        <v>596</v>
      </c>
      <c r="H11" s="3">
        <v>635</v>
      </c>
      <c r="I11" s="3">
        <v>636</v>
      </c>
      <c r="J11" s="3">
        <v>598</v>
      </c>
      <c r="K11" s="3">
        <v>722</v>
      </c>
      <c r="L11" s="3">
        <v>752</v>
      </c>
      <c r="M11" s="3">
        <v>788</v>
      </c>
      <c r="N11" s="3">
        <v>1032</v>
      </c>
      <c r="O11" s="3">
        <v>826</v>
      </c>
      <c r="T11" s="3">
        <v>2042</v>
      </c>
      <c r="U11" s="3">
        <v>2248</v>
      </c>
      <c r="V11" s="3">
        <v>1944</v>
      </c>
      <c r="W11" s="3">
        <v>2314</v>
      </c>
      <c r="X11" s="3">
        <v>2465</v>
      </c>
      <c r="Y11" s="3">
        <v>3294</v>
      </c>
      <c r="Z11" s="3">
        <f>+Z8*0.15</f>
        <v>3781.6049999999996</v>
      </c>
      <c r="AA11" s="3">
        <f t="shared" ref="AA11:AI11" si="5">+AA8*0.15</f>
        <v>4462.2938999999997</v>
      </c>
      <c r="AB11" s="3">
        <f t="shared" si="5"/>
        <v>5265.506801999999</v>
      </c>
      <c r="AC11" s="3">
        <f t="shared" si="5"/>
        <v>6213.2980263599993</v>
      </c>
      <c r="AD11" s="3">
        <f t="shared" si="5"/>
        <v>7331.6916711047979</v>
      </c>
      <c r="AE11" s="3">
        <f t="shared" si="5"/>
        <v>8211.4946716373743</v>
      </c>
      <c r="AF11" s="3">
        <f t="shared" si="5"/>
        <v>9196.8740322338617</v>
      </c>
      <c r="AG11" s="3">
        <f t="shared" si="5"/>
        <v>10300.498916101924</v>
      </c>
      <c r="AH11" s="3">
        <f t="shared" si="5"/>
        <v>11536.558786034157</v>
      </c>
      <c r="AI11" s="3">
        <f t="shared" si="5"/>
        <v>12920.945840358256</v>
      </c>
    </row>
    <row r="12" spans="2:35" x14ac:dyDescent="0.2">
      <c r="B12" t="s">
        <v>41</v>
      </c>
      <c r="G12" s="3">
        <v>158</v>
      </c>
      <c r="H12" s="3">
        <v>207</v>
      </c>
      <c r="I12" s="3">
        <v>262</v>
      </c>
      <c r="J12" s="3">
        <v>270</v>
      </c>
      <c r="K12" s="3">
        <v>289</v>
      </c>
      <c r="L12" s="3">
        <v>304</v>
      </c>
      <c r="M12" s="3">
        <v>387</v>
      </c>
      <c r="N12" s="3">
        <v>738</v>
      </c>
      <c r="O12" s="3">
        <v>186</v>
      </c>
      <c r="T12" s="3">
        <v>699</v>
      </c>
      <c r="U12" s="3">
        <v>797</v>
      </c>
      <c r="V12" s="3">
        <v>581</v>
      </c>
      <c r="W12" s="3">
        <v>522</v>
      </c>
      <c r="X12" s="3">
        <v>766</v>
      </c>
      <c r="Y12" s="3">
        <v>1555</v>
      </c>
      <c r="Z12" s="3">
        <f>+Y12*1.24</f>
        <v>1928.2</v>
      </c>
      <c r="AA12" s="3">
        <f t="shared" ref="AA12:AI12" si="6">+Z12*1.24</f>
        <v>2390.9679999999998</v>
      </c>
      <c r="AB12" s="3">
        <f t="shared" si="6"/>
        <v>2964.8003199999998</v>
      </c>
      <c r="AC12" s="3">
        <f t="shared" si="6"/>
        <v>3676.3523968</v>
      </c>
      <c r="AD12" s="3">
        <f t="shared" si="6"/>
        <v>4558.6769720319999</v>
      </c>
      <c r="AE12" s="3">
        <f t="shared" si="6"/>
        <v>5652.7594453196798</v>
      </c>
      <c r="AF12" s="3">
        <f t="shared" si="6"/>
        <v>7009.421712196403</v>
      </c>
      <c r="AG12" s="3">
        <f t="shared" si="6"/>
        <v>8691.6829231235388</v>
      </c>
      <c r="AH12" s="3">
        <f t="shared" si="6"/>
        <v>10777.686824673188</v>
      </c>
      <c r="AI12" s="3">
        <f t="shared" si="6"/>
        <v>13364.331662594754</v>
      </c>
    </row>
    <row r="13" spans="2:35" x14ac:dyDescent="0.2">
      <c r="B13" t="s">
        <v>42</v>
      </c>
      <c r="G13" s="3">
        <v>134</v>
      </c>
      <c r="H13" s="3">
        <v>137</v>
      </c>
      <c r="I13" s="3">
        <v>129</v>
      </c>
      <c r="J13" s="3">
        <v>126</v>
      </c>
      <c r="K13" s="3">
        <v>137</v>
      </c>
      <c r="L13" s="3">
        <v>144</v>
      </c>
      <c r="M13" s="3">
        <v>187</v>
      </c>
      <c r="N13" s="3">
        <v>187</v>
      </c>
      <c r="O13" s="3">
        <v>187</v>
      </c>
      <c r="T13" s="3">
        <v>233</v>
      </c>
      <c r="U13" s="3">
        <v>285</v>
      </c>
      <c r="V13" s="3">
        <v>299</v>
      </c>
      <c r="W13" s="3">
        <v>412</v>
      </c>
      <c r="X13" s="3">
        <v>526</v>
      </c>
      <c r="Y13" s="3">
        <v>655</v>
      </c>
      <c r="Z13" s="3">
        <f>+Y13*1.24</f>
        <v>812.2</v>
      </c>
      <c r="AA13" s="3">
        <f t="shared" ref="AA13:AI13" si="7">+Z13*1.24</f>
        <v>1007.128</v>
      </c>
      <c r="AB13" s="3">
        <f t="shared" si="7"/>
        <v>1248.83872</v>
      </c>
      <c r="AC13" s="3">
        <f t="shared" si="7"/>
        <v>1548.5600127999999</v>
      </c>
      <c r="AD13" s="3">
        <f t="shared" si="7"/>
        <v>1920.2144158719998</v>
      </c>
      <c r="AE13" s="3">
        <f t="shared" si="7"/>
        <v>2381.0658756812795</v>
      </c>
      <c r="AF13" s="3">
        <f t="shared" si="7"/>
        <v>2952.5216858447866</v>
      </c>
      <c r="AG13" s="3">
        <f t="shared" si="7"/>
        <v>3661.1268904475355</v>
      </c>
      <c r="AH13" s="3">
        <f t="shared" si="7"/>
        <v>4539.7973441549439</v>
      </c>
      <c r="AI13" s="3">
        <f t="shared" si="7"/>
        <v>5629.3487067521301</v>
      </c>
    </row>
    <row r="14" spans="2:35" x14ac:dyDescent="0.2">
      <c r="B14" t="s">
        <v>33</v>
      </c>
      <c r="G14" s="3">
        <f>+SUM(G9:G13)</f>
        <v>2374</v>
      </c>
      <c r="H14" s="3">
        <f>+SUM(H9:H13)</f>
        <v>3181</v>
      </c>
      <c r="I14" s="3">
        <f>+SUM(I9:I13)</f>
        <v>3362</v>
      </c>
      <c r="J14" s="3">
        <f>+SUM(J9:J13)</f>
        <v>2819</v>
      </c>
      <c r="K14" s="3">
        <f>+SUM(K9:K13)</f>
        <v>3207</v>
      </c>
      <c r="L14" s="3">
        <f>+SUM(L9:L13)</f>
        <v>3667</v>
      </c>
      <c r="M14" s="3">
        <f>+SUM(M9:M13)</f>
        <v>4107</v>
      </c>
      <c r="N14" s="3">
        <f>+SUM(N9:N13)</f>
        <v>4040</v>
      </c>
      <c r="O14" s="3">
        <f>+SUM(O9:O13)</f>
        <v>3487</v>
      </c>
      <c r="T14" s="3">
        <f>+SUM(T9:T13)</f>
        <v>8760</v>
      </c>
      <c r="U14" s="3">
        <f>+SUM(U9:U13)</f>
        <v>9252</v>
      </c>
      <c r="V14" s="3">
        <f>+SUM(V9:V13)</f>
        <v>5758</v>
      </c>
      <c r="W14" s="3">
        <f>+SUM(W9:W13)</f>
        <v>8028</v>
      </c>
      <c r="X14" s="3">
        <f>+SUM(X9:X13)</f>
        <v>11736</v>
      </c>
      <c r="Y14" s="3">
        <f>+SUM(Y9:Y13)</f>
        <v>15021</v>
      </c>
      <c r="Z14" s="3">
        <f t="shared" ref="Z14:AI14" si="8">+SUM(Z9:Z13)</f>
        <v>16606.285</v>
      </c>
      <c r="AA14" s="3">
        <f t="shared" si="8"/>
        <v>19759.8403</v>
      </c>
      <c r="AB14" s="3">
        <f t="shared" si="8"/>
        <v>23520.497313999997</v>
      </c>
      <c r="AC14" s="3">
        <f t="shared" si="8"/>
        <v>28007.005172919999</v>
      </c>
      <c r="AD14" s="3">
        <f t="shared" si="8"/>
        <v>33361.76084862159</v>
      </c>
      <c r="AE14" s="3">
        <f t="shared" si="8"/>
        <v>38142.639117004663</v>
      </c>
      <c r="AF14" s="3">
        <f t="shared" si="8"/>
        <v>43683.814849565351</v>
      </c>
      <c r="AG14" s="3">
        <f t="shared" si="8"/>
        <v>50121.305839278131</v>
      </c>
      <c r="AH14" s="3">
        <f t="shared" si="8"/>
        <v>57618.199717620038</v>
      </c>
      <c r="AI14" s="3">
        <f t="shared" si="8"/>
        <v>66370.481783993819</v>
      </c>
    </row>
    <row r="15" spans="2:35" s="9" customFormat="1" x14ac:dyDescent="0.2">
      <c r="B15" s="6" t="s">
        <v>32</v>
      </c>
      <c r="G15" s="9">
        <f>+G8-G14</f>
        <v>321</v>
      </c>
      <c r="H15" s="9">
        <f>+H8-H14</f>
        <v>1113</v>
      </c>
      <c r="I15" s="9">
        <f>+I8-I14</f>
        <v>2690</v>
      </c>
      <c r="J15" s="9">
        <f>+J8-J14</f>
        <v>1230</v>
      </c>
      <c r="K15" s="9">
        <f>+K8-K14</f>
        <v>571</v>
      </c>
      <c r="L15" s="9">
        <f>+L8-L14</f>
        <v>1795</v>
      </c>
      <c r="M15" s="9">
        <f>+M8-M14</f>
        <v>3234</v>
      </c>
      <c r="N15" s="9">
        <f>+N8-N14</f>
        <v>744</v>
      </c>
      <c r="O15" s="9">
        <f>+O8-O14</f>
        <v>928</v>
      </c>
      <c r="T15" s="9">
        <f>+T8-T14</f>
        <v>5767</v>
      </c>
      <c r="U15" s="9">
        <f>+U8-U14</f>
        <v>5814</v>
      </c>
      <c r="V15" s="9">
        <f>+V8-V14</f>
        <v>1038</v>
      </c>
      <c r="W15" s="9">
        <f>+W8-W14</f>
        <v>2930</v>
      </c>
      <c r="X15" s="9">
        <f>+X8-X14</f>
        <v>5354</v>
      </c>
      <c r="Y15" s="9">
        <f>+Y8-Y14</f>
        <v>6344</v>
      </c>
      <c r="Z15" s="9">
        <f t="shared" ref="Z15:AI15" si="9">+Z8-Z14</f>
        <v>8604.4149999999972</v>
      </c>
      <c r="AA15" s="9">
        <f t="shared" si="9"/>
        <v>9988.7856999999967</v>
      </c>
      <c r="AB15" s="9">
        <f t="shared" si="9"/>
        <v>11582.881365999998</v>
      </c>
      <c r="AC15" s="9">
        <f t="shared" si="9"/>
        <v>13414.981669479996</v>
      </c>
      <c r="AD15" s="9">
        <f t="shared" si="9"/>
        <v>15516.183625410398</v>
      </c>
      <c r="AE15" s="9">
        <f t="shared" si="9"/>
        <v>16600.658693911173</v>
      </c>
      <c r="AF15" s="9">
        <f t="shared" si="9"/>
        <v>17628.678698660391</v>
      </c>
      <c r="AG15" s="9">
        <f t="shared" si="9"/>
        <v>18548.686934734702</v>
      </c>
      <c r="AH15" s="9">
        <f t="shared" si="9"/>
        <v>19292.192189274341</v>
      </c>
      <c r="AI15" s="9">
        <f t="shared" si="9"/>
        <v>19769.157151727894</v>
      </c>
    </row>
    <row r="16" spans="2:35" x14ac:dyDescent="0.2">
      <c r="B16" t="s">
        <v>25</v>
      </c>
      <c r="G16" s="3">
        <v>-68</v>
      </c>
      <c r="H16" s="3">
        <v>-76</v>
      </c>
      <c r="I16" s="3">
        <v>-102</v>
      </c>
      <c r="J16" s="3">
        <v>-145</v>
      </c>
      <c r="K16" s="3">
        <v>-194</v>
      </c>
      <c r="L16" s="3">
        <v>-241</v>
      </c>
      <c r="M16" s="3">
        <v>-254</v>
      </c>
      <c r="N16" s="3">
        <v>-208</v>
      </c>
      <c r="O16" s="3">
        <v>-219</v>
      </c>
      <c r="T16" s="3">
        <v>-269</v>
      </c>
      <c r="U16" s="3">
        <v>-266</v>
      </c>
      <c r="V16" s="3">
        <v>-356</v>
      </c>
      <c r="W16" s="3">
        <v>-334</v>
      </c>
      <c r="X16" s="3">
        <v>-391</v>
      </c>
      <c r="Y16" s="3">
        <v>-897</v>
      </c>
      <c r="Z16" s="3">
        <v>-897</v>
      </c>
      <c r="AA16" s="3">
        <v>-897</v>
      </c>
      <c r="AB16" s="3">
        <v>-897</v>
      </c>
      <c r="AC16" s="3">
        <v>-897</v>
      </c>
      <c r="AD16" s="3">
        <v>-897</v>
      </c>
      <c r="AE16" s="3">
        <v>-897</v>
      </c>
      <c r="AF16" s="3">
        <v>-897</v>
      </c>
      <c r="AG16" s="3">
        <v>-897</v>
      </c>
      <c r="AH16" s="3">
        <v>-897</v>
      </c>
      <c r="AI16" s="3">
        <v>-897</v>
      </c>
    </row>
    <row r="17" spans="2:136" x14ac:dyDescent="0.2">
      <c r="B17" t="s">
        <v>31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243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f>+Z35*0.01</f>
        <v>58.999319999999983</v>
      </c>
      <c r="AB17" s="3">
        <f t="shared" ref="AB17:AI17" si="10">+AA35*0.01</f>
        <v>134.20560015999996</v>
      </c>
      <c r="AC17" s="3">
        <f t="shared" si="10"/>
        <v>222.76629588927995</v>
      </c>
      <c r="AD17" s="3">
        <f t="shared" si="10"/>
        <v>326.69227961223413</v>
      </c>
      <c r="AE17" s="3">
        <f t="shared" si="10"/>
        <v>448.25928685241519</v>
      </c>
      <c r="AF17" s="3">
        <f t="shared" si="10"/>
        <v>579.47463069852381</v>
      </c>
      <c r="AG17" s="3">
        <f t="shared" si="10"/>
        <v>719.96385733339514</v>
      </c>
      <c r="AH17" s="3">
        <f t="shared" si="10"/>
        <v>868.93706366994002</v>
      </c>
      <c r="AI17" s="3">
        <f t="shared" si="10"/>
        <v>1025.0500976934941</v>
      </c>
    </row>
    <row r="18" spans="2:136" x14ac:dyDescent="0.2">
      <c r="B18" t="s">
        <v>30</v>
      </c>
      <c r="G18" s="3">
        <v>-955</v>
      </c>
      <c r="H18" s="3">
        <v>220</v>
      </c>
      <c r="I18" s="3">
        <v>-305</v>
      </c>
      <c r="J18" s="3">
        <v>252</v>
      </c>
      <c r="K18" s="3">
        <v>47</v>
      </c>
      <c r="L18" s="3">
        <v>186</v>
      </c>
      <c r="M18" s="3">
        <v>300</v>
      </c>
      <c r="N18" s="3">
        <v>10</v>
      </c>
      <c r="O18" s="3">
        <v>122</v>
      </c>
      <c r="T18" s="3">
        <v>-237</v>
      </c>
      <c r="U18" s="3">
        <v>879</v>
      </c>
      <c r="V18" s="3">
        <v>1554</v>
      </c>
      <c r="W18" s="3">
        <v>-697</v>
      </c>
      <c r="X18" s="3">
        <v>-788</v>
      </c>
      <c r="Y18" s="3">
        <v>543</v>
      </c>
      <c r="Z18" s="3">
        <v>250</v>
      </c>
      <c r="AA18" s="3">
        <v>250</v>
      </c>
      <c r="AB18" s="3">
        <v>250</v>
      </c>
      <c r="AC18" s="3">
        <v>250</v>
      </c>
      <c r="AD18" s="3">
        <v>250</v>
      </c>
      <c r="AE18" s="3">
        <v>250</v>
      </c>
      <c r="AF18" s="3">
        <v>250</v>
      </c>
      <c r="AG18" s="3">
        <v>250</v>
      </c>
      <c r="AH18" s="3">
        <v>250</v>
      </c>
      <c r="AI18" s="3">
        <v>250</v>
      </c>
    </row>
    <row r="19" spans="2:136" x14ac:dyDescent="0.2">
      <c r="B19" t="s">
        <v>29</v>
      </c>
      <c r="G19" s="3">
        <f>+SUM(G16:G18)+G15</f>
        <v>-702</v>
      </c>
      <c r="H19" s="3">
        <f>+SUM(H16:H18)+H15</f>
        <v>1257</v>
      </c>
      <c r="I19" s="3">
        <f>+SUM(I16:I18)+I15</f>
        <v>2283</v>
      </c>
      <c r="J19" s="3">
        <f>+SUM(J16:J18)+J15</f>
        <v>1337</v>
      </c>
      <c r="K19" s="3">
        <f>+SUM(K16:K18)+K15</f>
        <v>424</v>
      </c>
      <c r="L19" s="3">
        <f>+SUM(L16:L18)+L15</f>
        <v>1740</v>
      </c>
      <c r="M19" s="3">
        <f>+SUM(M16:M18)+M15</f>
        <v>3280</v>
      </c>
      <c r="N19" s="3">
        <f>+SUM(N16:N18)+N15</f>
        <v>546</v>
      </c>
      <c r="O19" s="3">
        <f>+SUM(O16:O18)+O15</f>
        <v>1074</v>
      </c>
      <c r="T19" s="3">
        <f>+SUM(T16:T18)+T15</f>
        <v>5261</v>
      </c>
      <c r="U19" s="3">
        <f>+SUM(U16:U18)+U15</f>
        <v>6427</v>
      </c>
      <c r="V19" s="3">
        <f>+SUM(V16:V18)+V15</f>
        <v>2236</v>
      </c>
      <c r="W19" s="3">
        <f>+SUM(W16:W18)+W15</f>
        <v>1899</v>
      </c>
      <c r="X19" s="3">
        <f>+SUM(X16:X18)+X15</f>
        <v>4175</v>
      </c>
      <c r="Y19" s="3">
        <f>+SUM(Y16:Y18)+Y15</f>
        <v>5990</v>
      </c>
      <c r="Z19" s="3">
        <f t="shared" ref="Z19:AI19" si="11">+SUM(Z16:Z18)+Z15</f>
        <v>7957.4149999999972</v>
      </c>
      <c r="AA19" s="3">
        <f t="shared" si="11"/>
        <v>9400.7850199999975</v>
      </c>
      <c r="AB19" s="3">
        <f t="shared" si="11"/>
        <v>11070.086966159997</v>
      </c>
      <c r="AC19" s="3">
        <f t="shared" si="11"/>
        <v>12990.747965369275</v>
      </c>
      <c r="AD19" s="3">
        <f t="shared" si="11"/>
        <v>15195.875905022633</v>
      </c>
      <c r="AE19" s="3">
        <f t="shared" si="11"/>
        <v>16401.917980763588</v>
      </c>
      <c r="AF19" s="3">
        <f t="shared" si="11"/>
        <v>17561.153329358916</v>
      </c>
      <c r="AG19" s="3">
        <f t="shared" si="11"/>
        <v>18621.650792068096</v>
      </c>
      <c r="AH19" s="3">
        <f t="shared" si="11"/>
        <v>19514.12925294428</v>
      </c>
      <c r="AI19" s="3">
        <f t="shared" si="11"/>
        <v>20147.207249421386</v>
      </c>
    </row>
    <row r="20" spans="2:136" x14ac:dyDescent="0.2">
      <c r="B20" t="s">
        <v>28</v>
      </c>
      <c r="G20" s="3">
        <v>-149</v>
      </c>
      <c r="H20" s="3">
        <v>287</v>
      </c>
      <c r="I20" s="3">
        <v>510</v>
      </c>
      <c r="J20" s="3">
        <v>217</v>
      </c>
      <c r="K20" s="3">
        <v>37</v>
      </c>
      <c r="L20" s="3">
        <v>328</v>
      </c>
      <c r="M20" s="3">
        <v>638</v>
      </c>
      <c r="N20" s="3">
        <v>189</v>
      </c>
      <c r="O20" s="3">
        <v>161</v>
      </c>
      <c r="T20" s="3">
        <v>837</v>
      </c>
      <c r="U20" s="3">
        <v>1093</v>
      </c>
      <c r="V20" s="3">
        <v>508</v>
      </c>
      <c r="W20" s="3">
        <v>300</v>
      </c>
      <c r="X20" s="3">
        <v>865</v>
      </c>
      <c r="Y20" s="3">
        <v>1192</v>
      </c>
      <c r="Z20" s="3">
        <f>+Z19*0.2</f>
        <v>1591.4829999999995</v>
      </c>
      <c r="AA20" s="3">
        <f t="shared" ref="AA20:AI20" si="12">+AA19*0.2</f>
        <v>1880.1570039999997</v>
      </c>
      <c r="AB20" s="3">
        <f t="shared" si="12"/>
        <v>2214.0173932319994</v>
      </c>
      <c r="AC20" s="3">
        <f t="shared" si="12"/>
        <v>2598.1495930738552</v>
      </c>
      <c r="AD20" s="3">
        <f t="shared" si="12"/>
        <v>3039.1751810045266</v>
      </c>
      <c r="AE20" s="3">
        <f t="shared" si="12"/>
        <v>3280.3835961527179</v>
      </c>
      <c r="AF20" s="3">
        <f t="shared" si="12"/>
        <v>3512.2306658717835</v>
      </c>
      <c r="AG20" s="3">
        <f t="shared" si="12"/>
        <v>3724.3301584136193</v>
      </c>
      <c r="AH20" s="3">
        <f t="shared" si="12"/>
        <v>3902.8258505888562</v>
      </c>
      <c r="AI20" s="3">
        <f t="shared" si="12"/>
        <v>4029.4414498842775</v>
      </c>
    </row>
    <row r="21" spans="2:136" s="9" customFormat="1" x14ac:dyDescent="0.2">
      <c r="B21" s="6" t="s">
        <v>27</v>
      </c>
      <c r="G21" s="9">
        <f>+G19-G20</f>
        <v>-553</v>
      </c>
      <c r="H21" s="9">
        <f>+H19-H20</f>
        <v>970</v>
      </c>
      <c r="I21" s="9">
        <f>+I19-I20</f>
        <v>1773</v>
      </c>
      <c r="J21" s="9">
        <f>+J19-J20</f>
        <v>1120</v>
      </c>
      <c r="K21" s="9">
        <f>+K19-K20</f>
        <v>387</v>
      </c>
      <c r="L21" s="9">
        <f>+L19-L20</f>
        <v>1412</v>
      </c>
      <c r="M21" s="9">
        <f>+M19-M20</f>
        <v>2642</v>
      </c>
      <c r="N21" s="9">
        <f>+N19-N20</f>
        <v>357</v>
      </c>
      <c r="O21" s="9">
        <f>+O19-O20</f>
        <v>913</v>
      </c>
      <c r="T21" s="9">
        <f>+T19-T20</f>
        <v>4424</v>
      </c>
      <c r="U21" s="9">
        <f>+U19-U20</f>
        <v>5334</v>
      </c>
      <c r="V21" s="9">
        <f>+V19-V20</f>
        <v>1728</v>
      </c>
      <c r="W21" s="9">
        <f>+W19-W20</f>
        <v>1599</v>
      </c>
      <c r="X21" s="9">
        <f>+X19-X20</f>
        <v>3310</v>
      </c>
      <c r="Y21" s="9">
        <f>+Y19-Y20</f>
        <v>4798</v>
      </c>
      <c r="Z21" s="9">
        <f t="shared" ref="Z21:AI21" si="13">+Z19-Z20</f>
        <v>6365.931999999998</v>
      </c>
      <c r="AA21" s="9">
        <f t="shared" si="13"/>
        <v>7520.6280159999978</v>
      </c>
      <c r="AB21" s="9">
        <f t="shared" si="13"/>
        <v>8856.0695729279978</v>
      </c>
      <c r="AC21" s="9">
        <f t="shared" si="13"/>
        <v>10392.598372295421</v>
      </c>
      <c r="AD21" s="9">
        <f t="shared" si="13"/>
        <v>12156.700724018106</v>
      </c>
      <c r="AE21" s="9">
        <f t="shared" si="13"/>
        <v>13121.53438461087</v>
      </c>
      <c r="AF21" s="9">
        <f t="shared" si="13"/>
        <v>14048.922663487134</v>
      </c>
      <c r="AG21" s="9">
        <f t="shared" si="13"/>
        <v>14897.320633654477</v>
      </c>
      <c r="AH21" s="9">
        <f t="shared" si="13"/>
        <v>15611.303402355425</v>
      </c>
      <c r="AI21" s="9">
        <f t="shared" si="13"/>
        <v>16117.765799537108</v>
      </c>
      <c r="AJ21" s="9">
        <f>+AI21*(1+$AL$24)</f>
        <v>15795.410483546366</v>
      </c>
      <c r="AK21" s="9">
        <f t="shared" ref="AK21:CV21" si="14">+AJ21*(1+$AL$24)</f>
        <v>15479.502273875438</v>
      </c>
      <c r="AL21" s="9">
        <f t="shared" si="14"/>
        <v>15169.912228397929</v>
      </c>
      <c r="AM21" s="9">
        <f t="shared" si="14"/>
        <v>14866.513983829969</v>
      </c>
      <c r="AN21" s="9">
        <f t="shared" si="14"/>
        <v>14569.183704153369</v>
      </c>
      <c r="AO21" s="9">
        <f t="shared" si="14"/>
        <v>14277.800030070301</v>
      </c>
      <c r="AP21" s="9">
        <f t="shared" si="14"/>
        <v>13992.244029468895</v>
      </c>
      <c r="AQ21" s="9">
        <f t="shared" si="14"/>
        <v>13712.399148879516</v>
      </c>
      <c r="AR21" s="9">
        <f t="shared" si="14"/>
        <v>13438.151165901925</v>
      </c>
      <c r="AS21" s="9">
        <f t="shared" si="14"/>
        <v>13169.388142583886</v>
      </c>
      <c r="AT21" s="9">
        <f t="shared" si="14"/>
        <v>12906.000379732208</v>
      </c>
      <c r="AU21" s="9">
        <f t="shared" si="14"/>
        <v>12647.880372137564</v>
      </c>
      <c r="AV21" s="9">
        <f t="shared" si="14"/>
        <v>12394.922764694813</v>
      </c>
      <c r="AW21" s="9">
        <f t="shared" si="14"/>
        <v>12147.024309400917</v>
      </c>
      <c r="AX21" s="9">
        <f t="shared" si="14"/>
        <v>11904.083823212897</v>
      </c>
      <c r="AY21" s="9">
        <f t="shared" si="14"/>
        <v>11666.002146748639</v>
      </c>
      <c r="AZ21" s="9">
        <f t="shared" si="14"/>
        <v>11432.682103813666</v>
      </c>
      <c r="BA21" s="9">
        <f t="shared" si="14"/>
        <v>11204.028461737393</v>
      </c>
      <c r="BB21" s="9">
        <f t="shared" si="14"/>
        <v>10979.947892502645</v>
      </c>
      <c r="BC21" s="9">
        <f t="shared" si="14"/>
        <v>10760.348934652591</v>
      </c>
      <c r="BD21" s="9">
        <f t="shared" si="14"/>
        <v>10545.14195595954</v>
      </c>
      <c r="BE21" s="9">
        <f t="shared" si="14"/>
        <v>10334.239116840348</v>
      </c>
      <c r="BF21" s="9">
        <f t="shared" si="14"/>
        <v>10127.55433450354</v>
      </c>
      <c r="BG21" s="9">
        <f t="shared" si="14"/>
        <v>9925.003247813469</v>
      </c>
      <c r="BH21" s="9">
        <f t="shared" si="14"/>
        <v>9726.5031828571991</v>
      </c>
      <c r="BI21" s="9">
        <f t="shared" si="14"/>
        <v>9531.9731192000545</v>
      </c>
      <c r="BJ21" s="9">
        <f t="shared" si="14"/>
        <v>9341.3336568160539</v>
      </c>
      <c r="BK21" s="9">
        <f t="shared" si="14"/>
        <v>9154.506983679732</v>
      </c>
      <c r="BL21" s="9">
        <f t="shared" si="14"/>
        <v>8971.4168440061367</v>
      </c>
      <c r="BM21" s="9">
        <f t="shared" si="14"/>
        <v>8791.9885071260142</v>
      </c>
      <c r="BN21" s="9">
        <f t="shared" si="14"/>
        <v>8616.148736983494</v>
      </c>
      <c r="BO21" s="9">
        <f t="shared" si="14"/>
        <v>8443.8257622438232</v>
      </c>
      <c r="BP21" s="9">
        <f t="shared" si="14"/>
        <v>8274.9492469989473</v>
      </c>
      <c r="BQ21" s="9">
        <f t="shared" si="14"/>
        <v>8109.4502620589683</v>
      </c>
      <c r="BR21" s="9">
        <f t="shared" si="14"/>
        <v>7947.2612568177892</v>
      </c>
      <c r="BS21" s="9">
        <f t="shared" si="14"/>
        <v>7788.3160316814337</v>
      </c>
      <c r="BT21" s="9">
        <f t="shared" si="14"/>
        <v>7632.5497110478045</v>
      </c>
      <c r="BU21" s="9">
        <f t="shared" si="14"/>
        <v>7479.8987168268486</v>
      </c>
      <c r="BV21" s="9">
        <f t="shared" si="14"/>
        <v>7330.3007424903117</v>
      </c>
      <c r="BW21" s="9">
        <f t="shared" si="14"/>
        <v>7183.6947276405053</v>
      </c>
      <c r="BX21" s="9">
        <f t="shared" si="14"/>
        <v>7040.0208330876949</v>
      </c>
      <c r="BY21" s="9">
        <f t="shared" si="14"/>
        <v>6899.220416425941</v>
      </c>
      <c r="BZ21" s="9">
        <f t="shared" si="14"/>
        <v>6761.2360080974222</v>
      </c>
      <c r="CA21" s="9">
        <f t="shared" si="14"/>
        <v>6626.0112879354738</v>
      </c>
      <c r="CB21" s="9">
        <f t="shared" si="14"/>
        <v>6493.491062176764</v>
      </c>
      <c r="CC21" s="9">
        <f t="shared" si="14"/>
        <v>6363.6212409332284</v>
      </c>
      <c r="CD21" s="9">
        <f t="shared" si="14"/>
        <v>6236.3488161145633</v>
      </c>
      <c r="CE21" s="9">
        <f t="shared" si="14"/>
        <v>6111.6218397922721</v>
      </c>
      <c r="CF21" s="9">
        <f t="shared" si="14"/>
        <v>5989.3894029964267</v>
      </c>
      <c r="CG21" s="9">
        <f t="shared" si="14"/>
        <v>5869.6016149364978</v>
      </c>
      <c r="CH21" s="9">
        <f t="shared" si="14"/>
        <v>5752.2095826377681</v>
      </c>
      <c r="CI21" s="9">
        <f t="shared" si="14"/>
        <v>5637.1653909850129</v>
      </c>
      <c r="CJ21" s="9">
        <f t="shared" si="14"/>
        <v>5524.4220831653129</v>
      </c>
      <c r="CK21" s="9">
        <f t="shared" si="14"/>
        <v>5413.9336415020061</v>
      </c>
      <c r="CL21" s="9">
        <f t="shared" si="14"/>
        <v>5305.6549686719663</v>
      </c>
      <c r="CM21" s="9">
        <f t="shared" si="14"/>
        <v>5199.5418692985268</v>
      </c>
      <c r="CN21" s="9">
        <f t="shared" si="14"/>
        <v>5095.551031912556</v>
      </c>
      <c r="CO21" s="9">
        <f t="shared" si="14"/>
        <v>4993.6400112743049</v>
      </c>
      <c r="CP21" s="9">
        <f t="shared" si="14"/>
        <v>4893.7672110488184</v>
      </c>
      <c r="CQ21" s="9">
        <f t="shared" si="14"/>
        <v>4795.891866827842</v>
      </c>
      <c r="CR21" s="9">
        <f t="shared" si="14"/>
        <v>4699.9740294912854</v>
      </c>
      <c r="CS21" s="9">
        <f t="shared" si="14"/>
        <v>4605.9745489014595</v>
      </c>
      <c r="CT21" s="9">
        <f t="shared" si="14"/>
        <v>4513.8550579234297</v>
      </c>
      <c r="CU21" s="9">
        <f t="shared" si="14"/>
        <v>4423.5779567649606</v>
      </c>
      <c r="CV21" s="9">
        <f t="shared" si="14"/>
        <v>4335.1063976296609</v>
      </c>
      <c r="CW21" s="9">
        <f t="shared" ref="CW21:EF21" si="15">+CV21*(1+$AL$24)</f>
        <v>4248.4042696770675</v>
      </c>
      <c r="CX21" s="9">
        <f t="shared" si="15"/>
        <v>4163.436184283526</v>
      </c>
      <c r="CY21" s="9">
        <f t="shared" si="15"/>
        <v>4080.1674605978556</v>
      </c>
      <c r="CZ21" s="9">
        <f t="shared" si="15"/>
        <v>3998.5641113858983</v>
      </c>
      <c r="DA21" s="9">
        <f t="shared" si="15"/>
        <v>3918.5928291581804</v>
      </c>
      <c r="DB21" s="9">
        <f t="shared" si="15"/>
        <v>3840.2209725750167</v>
      </c>
      <c r="DC21" s="9">
        <f t="shared" si="15"/>
        <v>3763.4165531235162</v>
      </c>
      <c r="DD21" s="9">
        <f t="shared" si="15"/>
        <v>3688.148222061046</v>
      </c>
      <c r="DE21" s="9">
        <f t="shared" si="15"/>
        <v>3614.3852576198251</v>
      </c>
      <c r="DF21" s="9">
        <f t="shared" si="15"/>
        <v>3542.0975524674286</v>
      </c>
      <c r="DG21" s="9">
        <f t="shared" si="15"/>
        <v>3471.25560141808</v>
      </c>
      <c r="DH21" s="9">
        <f t="shared" si="15"/>
        <v>3401.8304893897184</v>
      </c>
      <c r="DI21" s="9">
        <f t="shared" si="15"/>
        <v>3333.7938796019239</v>
      </c>
      <c r="DJ21" s="9">
        <f t="shared" si="15"/>
        <v>3267.1180020098855</v>
      </c>
      <c r="DK21" s="9">
        <f t="shared" si="15"/>
        <v>3201.7756419696875</v>
      </c>
      <c r="DL21" s="9">
        <f t="shared" si="15"/>
        <v>3137.7401291302936</v>
      </c>
      <c r="DM21" s="9">
        <f t="shared" si="15"/>
        <v>3074.9853265476877</v>
      </c>
      <c r="DN21" s="9">
        <f t="shared" si="15"/>
        <v>3013.4856200167337</v>
      </c>
      <c r="DO21" s="9">
        <f t="shared" si="15"/>
        <v>2953.2159076163989</v>
      </c>
      <c r="DP21" s="9">
        <f t="shared" si="15"/>
        <v>2894.1515894640711</v>
      </c>
      <c r="DQ21" s="9">
        <f t="shared" si="15"/>
        <v>2836.2685576747895</v>
      </c>
      <c r="DR21" s="9">
        <f t="shared" si="15"/>
        <v>2779.5431865212936</v>
      </c>
      <c r="DS21" s="9">
        <f t="shared" si="15"/>
        <v>2723.9523227908676</v>
      </c>
      <c r="DT21" s="9">
        <f t="shared" si="15"/>
        <v>2669.4732763350503</v>
      </c>
      <c r="DU21" s="9">
        <f t="shared" si="15"/>
        <v>2616.0838108083494</v>
      </c>
      <c r="DV21" s="9">
        <f t="shared" si="15"/>
        <v>2563.7621345921825</v>
      </c>
      <c r="DW21" s="9">
        <f t="shared" si="15"/>
        <v>2512.4868919003388</v>
      </c>
      <c r="DX21" s="9">
        <f t="shared" si="15"/>
        <v>2462.2371540623321</v>
      </c>
      <c r="DY21" s="9">
        <f t="shared" si="15"/>
        <v>2412.9924109810854</v>
      </c>
      <c r="DZ21" s="9">
        <f t="shared" si="15"/>
        <v>2364.7325627614637</v>
      </c>
      <c r="EA21" s="9">
        <f t="shared" si="15"/>
        <v>2317.4379115062343</v>
      </c>
      <c r="EB21" s="9">
        <f t="shared" si="15"/>
        <v>2271.0891532761098</v>
      </c>
      <c r="EC21" s="9">
        <f t="shared" si="15"/>
        <v>2225.6673702105877</v>
      </c>
      <c r="ED21" s="9">
        <f t="shared" si="15"/>
        <v>2181.1540228063759</v>
      </c>
      <c r="EE21" s="9">
        <f t="shared" si="15"/>
        <v>2137.5309423502486</v>
      </c>
      <c r="EF21" s="9">
        <f t="shared" si="15"/>
        <v>2094.7803235032434</v>
      </c>
    </row>
    <row r="22" spans="2:136" x14ac:dyDescent="0.2">
      <c r="B22" t="s">
        <v>26</v>
      </c>
      <c r="G22" s="3">
        <f>+G21/G23</f>
        <v>-13.513843747709</v>
      </c>
      <c r="H22" s="3">
        <f>+H21/H23</f>
        <v>23.853436616254765</v>
      </c>
      <c r="I22" s="3">
        <f>+I21/I23</f>
        <v>44.692596607093343</v>
      </c>
      <c r="J22" s="3">
        <f>+J21/J23</f>
        <v>28.933839675527654</v>
      </c>
      <c r="K22" s="3">
        <f>+K21/K23</f>
        <v>10.188768659663534</v>
      </c>
      <c r="L22" s="3">
        <f>+L21/L23</f>
        <v>38.199329076939726</v>
      </c>
      <c r="M22" s="3">
        <f>+M21/M23</f>
        <v>73.415400005557558</v>
      </c>
      <c r="N22" s="3">
        <f>+N21/N23</f>
        <v>10.135710635398331</v>
      </c>
      <c r="O22" s="3">
        <f>+O21/O23</f>
        <v>26.306690485794959</v>
      </c>
      <c r="T22" s="13">
        <f>+T21/T23</f>
        <v>92.134035862298759</v>
      </c>
      <c r="U22" s="13">
        <f>+U21/U23</f>
        <v>122.59532510515066</v>
      </c>
      <c r="V22" s="13">
        <f>+V21/V23</f>
        <v>41.982507288629741</v>
      </c>
      <c r="W22" s="13">
        <f>+W21/W23</f>
        <v>38.658672211208355</v>
      </c>
      <c r="X22" s="13">
        <f>+X21/X23</f>
        <v>82.642564665934287</v>
      </c>
      <c r="Y22" s="13">
        <f>+Y21/Y23</f>
        <v>131.34410073911852</v>
      </c>
      <c r="Z22" s="13">
        <f t="shared" ref="Z22:AI22" si="16">+Z21/Z23</f>
        <v>183.43775123546612</v>
      </c>
      <c r="AA22" s="13">
        <f t="shared" si="16"/>
        <v>228.11677620867903</v>
      </c>
      <c r="AB22" s="13">
        <f t="shared" si="16"/>
        <v>282.76166586621991</v>
      </c>
      <c r="AC22" s="13">
        <f t="shared" si="16"/>
        <v>349.28509279246157</v>
      </c>
      <c r="AD22" s="13">
        <f t="shared" si="16"/>
        <v>430.07879143540464</v>
      </c>
      <c r="AE22" s="13">
        <f t="shared" si="16"/>
        <v>488.64484205272305</v>
      </c>
      <c r="AF22" s="13">
        <f t="shared" si="16"/>
        <v>550.71653044686991</v>
      </c>
      <c r="AG22" s="13">
        <f t="shared" si="16"/>
        <v>614.7091117035435</v>
      </c>
      <c r="AH22" s="13">
        <f t="shared" si="16"/>
        <v>678.07392547010306</v>
      </c>
      <c r="AI22" s="13">
        <f t="shared" si="16"/>
        <v>736.91791698833958</v>
      </c>
    </row>
    <row r="23" spans="2:136" x14ac:dyDescent="0.2">
      <c r="B23" t="s">
        <v>4</v>
      </c>
      <c r="G23" s="3">
        <v>40.920999999999999</v>
      </c>
      <c r="H23" s="3">
        <v>40.664999999999999</v>
      </c>
      <c r="I23" s="3">
        <v>39.670999999999999</v>
      </c>
      <c r="J23" s="3">
        <v>38.709000000000003</v>
      </c>
      <c r="K23" s="3">
        <v>37.982999999999997</v>
      </c>
      <c r="L23" s="3">
        <v>36.963999999999999</v>
      </c>
      <c r="M23" s="3">
        <v>35.987000000000002</v>
      </c>
      <c r="N23" s="3">
        <v>35.222000000000001</v>
      </c>
      <c r="O23" s="3">
        <v>34.706000000000003</v>
      </c>
      <c r="T23" s="3">
        <v>48.017000000000003</v>
      </c>
      <c r="U23" s="3">
        <v>43.509</v>
      </c>
      <c r="V23" s="3">
        <v>41.16</v>
      </c>
      <c r="W23" s="3">
        <v>41.362000000000002</v>
      </c>
      <c r="X23" s="3">
        <v>40.052</v>
      </c>
      <c r="Y23" s="3">
        <v>36.53</v>
      </c>
      <c r="Z23" s="16">
        <f>+Y23*0.95</f>
        <v>34.703499999999998</v>
      </c>
      <c r="AA23" s="16">
        <f t="shared" ref="AA23:AI23" si="17">+Z23*0.95</f>
        <v>32.968325</v>
      </c>
      <c r="AB23" s="16">
        <f t="shared" si="17"/>
        <v>31.31990875</v>
      </c>
      <c r="AC23" s="16">
        <f t="shared" si="17"/>
        <v>29.7539133125</v>
      </c>
      <c r="AD23" s="16">
        <f t="shared" si="17"/>
        <v>28.266217646874999</v>
      </c>
      <c r="AE23" s="16">
        <f t="shared" si="17"/>
        <v>26.852906764531248</v>
      </c>
      <c r="AF23" s="16">
        <f t="shared" si="17"/>
        <v>25.510261426304684</v>
      </c>
      <c r="AG23" s="16">
        <f t="shared" si="17"/>
        <v>24.234748354989449</v>
      </c>
      <c r="AH23" s="16">
        <f t="shared" si="17"/>
        <v>23.023010937239974</v>
      </c>
      <c r="AI23" s="16">
        <f t="shared" si="17"/>
        <v>21.871860390377975</v>
      </c>
    </row>
    <row r="24" spans="2:136" x14ac:dyDescent="0.2">
      <c r="AK24" s="3" t="s">
        <v>91</v>
      </c>
      <c r="AL24" s="7">
        <v>-0.02</v>
      </c>
    </row>
    <row r="25" spans="2:136" s="7" customFormat="1" x14ac:dyDescent="0.2">
      <c r="B25" s="7" t="s">
        <v>82</v>
      </c>
      <c r="G25" s="7">
        <f t="shared" ref="G25" si="18">+G9/G8</f>
        <v>0.42560296846011131</v>
      </c>
      <c r="H25" s="7">
        <f t="shared" ref="H25:N25" si="19">+H9/H8</f>
        <v>0.40451793199813696</v>
      </c>
      <c r="I25" s="7">
        <f t="shared" si="19"/>
        <v>0.29659616655651022</v>
      </c>
      <c r="J25" s="7">
        <f t="shared" si="19"/>
        <v>0.32452457396888118</v>
      </c>
      <c r="K25" s="7">
        <f t="shared" si="19"/>
        <v>0.40153520381154051</v>
      </c>
      <c r="L25" s="7">
        <f t="shared" si="19"/>
        <v>0.3297326986451849</v>
      </c>
      <c r="M25" s="7">
        <f t="shared" si="19"/>
        <v>0.27543931344503475</v>
      </c>
      <c r="N25" s="7">
        <f t="shared" si="19"/>
        <v>0.29954013377926419</v>
      </c>
      <c r="O25" s="7">
        <f>+O9/O8</f>
        <v>0.36466591166477919</v>
      </c>
      <c r="T25" s="7">
        <f t="shared" ref="T25:X25" si="20">+T9/T8</f>
        <v>0.34115784401459354</v>
      </c>
      <c r="U25" s="7">
        <f t="shared" si="20"/>
        <v>0.32968272932430637</v>
      </c>
      <c r="V25" s="7">
        <f t="shared" si="20"/>
        <v>0.32062978222483812</v>
      </c>
      <c r="W25" s="7">
        <f t="shared" si="20"/>
        <v>0.34686986676400805</v>
      </c>
      <c r="X25" s="7">
        <f t="shared" si="20"/>
        <v>0.35067290813341134</v>
      </c>
      <c r="Y25" s="7">
        <f>+Y9/Y8</f>
        <v>0.31701380762930026</v>
      </c>
      <c r="AK25" s="7" t="s">
        <v>86</v>
      </c>
      <c r="AL25" s="7">
        <v>0.1</v>
      </c>
    </row>
    <row r="26" spans="2:136" s="7" customFormat="1" x14ac:dyDescent="0.2">
      <c r="B26" s="7" t="s">
        <v>83</v>
      </c>
      <c r="G26" s="7">
        <f t="shared" ref="G26" si="21">+G10/G8</f>
        <v>0.12578849721706864</v>
      </c>
      <c r="H26" s="7">
        <f t="shared" ref="H26:N26" si="22">+H10/H8</f>
        <v>0.10829063809967396</v>
      </c>
      <c r="I26" s="7">
        <f t="shared" si="22"/>
        <v>8.9226701916721746E-2</v>
      </c>
      <c r="J26" s="7">
        <f t="shared" si="22"/>
        <v>0.12620400098789825</v>
      </c>
      <c r="K26" s="7">
        <f t="shared" si="22"/>
        <v>0.14346214928533615</v>
      </c>
      <c r="L26" s="7">
        <f t="shared" si="22"/>
        <v>0.12193335774441597</v>
      </c>
      <c r="M26" s="7">
        <f t="shared" si="22"/>
        <v>9.8487944421740914E-2</v>
      </c>
      <c r="N26" s="7">
        <f t="shared" si="22"/>
        <v>0.1358695652173913</v>
      </c>
      <c r="O26" s="7">
        <f>+O10/O8</f>
        <v>0.15356738391845981</v>
      </c>
      <c r="T26" s="7">
        <f t="shared" ref="T26:X26" si="23">+T10/T8</f>
        <v>5.7134990018586081E-2</v>
      </c>
      <c r="U26" s="7">
        <f t="shared" si="23"/>
        <v>6.3387760520377007E-2</v>
      </c>
      <c r="V26" s="7">
        <f t="shared" si="23"/>
        <v>0.11109476162448499</v>
      </c>
      <c r="W26" s="7">
        <f t="shared" si="23"/>
        <v>8.9341120642453004E-2</v>
      </c>
      <c r="X26" s="7">
        <f t="shared" si="23"/>
        <v>0.11620830895260387</v>
      </c>
      <c r="Y26" s="7">
        <f>+Y10/Y8</f>
        <v>0.12843435525391997</v>
      </c>
      <c r="AK26" s="7" t="s">
        <v>87</v>
      </c>
      <c r="AL26" s="3">
        <f>NPV(AL25,Z21:EF21)</f>
        <v>118451.56638287818</v>
      </c>
    </row>
    <row r="27" spans="2:136" s="7" customFormat="1" x14ac:dyDescent="0.2">
      <c r="B27" s="7" t="s">
        <v>84</v>
      </c>
      <c r="G27" s="7">
        <f>+G15/G8</f>
        <v>0.11910946196660482</v>
      </c>
      <c r="H27" s="7">
        <f>+H15/H8</f>
        <v>0.25919888216115511</v>
      </c>
      <c r="I27" s="7">
        <f>+I15/I8</f>
        <v>0.44448116325181758</v>
      </c>
      <c r="J27" s="7">
        <f>+J15/J8</f>
        <v>0.30377871079278834</v>
      </c>
      <c r="K27" s="7">
        <f>+K15/K8</f>
        <v>0.15113816834303864</v>
      </c>
      <c r="L27" s="7">
        <f>+L15/L8</f>
        <v>0.32863419992676673</v>
      </c>
      <c r="M27" s="7">
        <f>+M15/M8</f>
        <v>0.4405394360441357</v>
      </c>
      <c r="N27" s="7">
        <f>+N15/N8</f>
        <v>0.15551839464882944</v>
      </c>
      <c r="O27" s="7">
        <f>+O15/O8</f>
        <v>0.2101925254813137</v>
      </c>
      <c r="T27" s="7">
        <f>+T15/T8</f>
        <v>0.39698492462311558</v>
      </c>
      <c r="U27" s="7">
        <f>+U15/U8</f>
        <v>0.38590203106332138</v>
      </c>
      <c r="V27" s="7">
        <f>+V15/V8</f>
        <v>0.15273690406121249</v>
      </c>
      <c r="W27" s="7">
        <f>+W15/W8</f>
        <v>0.26738455922613613</v>
      </c>
      <c r="X27" s="7">
        <f>+X15/X8</f>
        <v>0.31328262141603275</v>
      </c>
      <c r="Y27" s="7">
        <f>+Y15/Y8</f>
        <v>0.29693423824011234</v>
      </c>
      <c r="AK27" s="7" t="s">
        <v>45</v>
      </c>
      <c r="AL27" s="3">
        <f>+Y35</f>
        <v>-466</v>
      </c>
    </row>
    <row r="28" spans="2:136" s="7" customFormat="1" x14ac:dyDescent="0.2">
      <c r="B28" s="7" t="s">
        <v>85</v>
      </c>
      <c r="G28" s="7">
        <f>+G21/G8</f>
        <v>-0.20519480519480521</v>
      </c>
      <c r="H28" s="7">
        <f>+H21/H8</f>
        <v>0.22589659990684677</v>
      </c>
      <c r="I28" s="7">
        <f>+I21/I8</f>
        <v>0.29296100462656971</v>
      </c>
      <c r="J28" s="7">
        <f>+J21/J8</f>
        <v>0.27661150901457149</v>
      </c>
      <c r="K28" s="7">
        <f>+K21/K8</f>
        <v>0.10243515087347803</v>
      </c>
      <c r="L28" s="7">
        <f>+L21/L8</f>
        <v>0.25851336506774075</v>
      </c>
      <c r="M28" s="7">
        <f>+M21/M8</f>
        <v>0.35989647187031737</v>
      </c>
      <c r="N28" s="7">
        <f>+N21/N8</f>
        <v>7.4623745819397999E-2</v>
      </c>
      <c r="O28" s="7">
        <f>+O21/O8</f>
        <v>0.20679501698754246</v>
      </c>
      <c r="T28" s="7">
        <f>+T21/T8</f>
        <v>0.30453638053280097</v>
      </c>
      <c r="U28" s="7">
        <f>+U21/U8</f>
        <v>0.35404221425726801</v>
      </c>
      <c r="V28" s="7">
        <f>+V21/V8</f>
        <v>0.25426721600941732</v>
      </c>
      <c r="W28" s="7">
        <f>+W21/W8</f>
        <v>0.14592078846504836</v>
      </c>
      <c r="X28" s="7">
        <f>+X21/X8</f>
        <v>0.19368051492100644</v>
      </c>
      <c r="Y28" s="7">
        <f>+Y21/Y8</f>
        <v>0.22457289960215304</v>
      </c>
      <c r="AK28" s="7" t="s">
        <v>88</v>
      </c>
      <c r="AL28" s="3">
        <f>+AL26-AL27</f>
        <v>118917.56638287818</v>
      </c>
    </row>
    <row r="29" spans="2:136" s="7" customFormat="1" x14ac:dyDescent="0.2">
      <c r="B29" s="7" t="s">
        <v>43</v>
      </c>
      <c r="G29" s="7">
        <f>+G20/G19</f>
        <v>0.21225071225071226</v>
      </c>
      <c r="H29" s="7">
        <f>+H20/H19</f>
        <v>0.22832140015910898</v>
      </c>
      <c r="I29" s="7">
        <f>+I20/I19</f>
        <v>0.22339027595269381</v>
      </c>
      <c r="J29" s="7">
        <f>+J20/J19</f>
        <v>0.16230366492146597</v>
      </c>
      <c r="K29" s="7">
        <f>+K20/K19</f>
        <v>8.7264150943396221E-2</v>
      </c>
      <c r="L29" s="7">
        <f>+L20/L19</f>
        <v>0.18850574712643678</v>
      </c>
      <c r="M29" s="7">
        <f>+M20/M19</f>
        <v>0.19451219512195123</v>
      </c>
      <c r="N29" s="7">
        <f>+N20/N19</f>
        <v>0.34615384615384615</v>
      </c>
      <c r="O29" s="7">
        <f>+O20/O19</f>
        <v>0.14990689013035383</v>
      </c>
      <c r="T29" s="7">
        <f>+T20/T19</f>
        <v>0.15909522904390799</v>
      </c>
      <c r="U29" s="7">
        <f>+U20/U19</f>
        <v>0.1700637933717131</v>
      </c>
      <c r="V29" s="7">
        <f>+V20/V19</f>
        <v>0.22719141323792486</v>
      </c>
      <c r="W29" s="7">
        <f>+W20/W19</f>
        <v>0.15797788309636651</v>
      </c>
      <c r="X29" s="7">
        <f>+X20/X19</f>
        <v>0.20718562874251498</v>
      </c>
      <c r="Y29" s="7">
        <f>+Y20/Y19</f>
        <v>0.1989983305509182</v>
      </c>
      <c r="AK29" s="7" t="s">
        <v>89</v>
      </c>
      <c r="AL29" s="3">
        <f>+AL26/Main!J6</f>
        <v>3491.3105063558896</v>
      </c>
    </row>
    <row r="30" spans="2:136" s="7" customFormat="1" x14ac:dyDescent="0.2">
      <c r="AK30" s="7" t="s">
        <v>90</v>
      </c>
      <c r="AL30" s="3">
        <v>3805</v>
      </c>
    </row>
    <row r="31" spans="2:136" s="8" customFormat="1" x14ac:dyDescent="0.2">
      <c r="B31" s="8" t="s">
        <v>44</v>
      </c>
      <c r="H31" s="8" t="e">
        <f>+H8/D8-1</f>
        <v>#DIV/0!</v>
      </c>
      <c r="I31" s="8" t="e">
        <f>+I8/E8-1</f>
        <v>#DIV/0!</v>
      </c>
      <c r="J31" s="8" t="e">
        <f>+J8/F8-1</f>
        <v>#DIV/0!</v>
      </c>
      <c r="K31" s="8">
        <f>+K8/G8-1</f>
        <v>0.40185528756957334</v>
      </c>
      <c r="L31" s="8">
        <f>+L8/H8-1</f>
        <v>0.27200745225896594</v>
      </c>
      <c r="M31" s="8">
        <f>+M8/I8-1</f>
        <v>0.21298744216787835</v>
      </c>
      <c r="N31" s="8">
        <f>+N8/J8-1</f>
        <v>0.1815263027908125</v>
      </c>
      <c r="O31" s="8">
        <f>+O8/K8-1</f>
        <v>0.16860772895712017</v>
      </c>
      <c r="U31" s="8">
        <f>+U8/T8-1</f>
        <v>3.7103324843394958E-2</v>
      </c>
      <c r="V31" s="8">
        <f>+V8/U8-1</f>
        <v>-0.54891809372096112</v>
      </c>
      <c r="W31" s="8">
        <f>+W8/V8-1</f>
        <v>0.61241907004120066</v>
      </c>
      <c r="X31" s="8">
        <f>+X8/W8-1</f>
        <v>0.55959116627121741</v>
      </c>
      <c r="Y31" s="8">
        <f>+Y8/X8-1</f>
        <v>0.25014628437682851</v>
      </c>
      <c r="Z31" s="8">
        <f t="shared" ref="Z31:AI31" si="24">+Z8/Y8-1</f>
        <v>0.17999999999999994</v>
      </c>
      <c r="AA31" s="8">
        <f t="shared" si="24"/>
        <v>0.17999999999999994</v>
      </c>
      <c r="AB31" s="8">
        <f t="shared" si="24"/>
        <v>0.17999999999999994</v>
      </c>
      <c r="AC31" s="8">
        <f t="shared" si="24"/>
        <v>0.17999999999999994</v>
      </c>
      <c r="AD31" s="8">
        <f t="shared" si="24"/>
        <v>0.17999999999999994</v>
      </c>
      <c r="AE31" s="8">
        <f t="shared" si="24"/>
        <v>0.12000000000000011</v>
      </c>
      <c r="AF31" s="8">
        <f t="shared" si="24"/>
        <v>0.12000000000000011</v>
      </c>
      <c r="AG31" s="8">
        <f t="shared" si="24"/>
        <v>0.12000000000000011</v>
      </c>
      <c r="AH31" s="8">
        <f t="shared" si="24"/>
        <v>0.12000000000000011</v>
      </c>
      <c r="AI31" s="8">
        <f t="shared" si="24"/>
        <v>0.12000000000000011</v>
      </c>
      <c r="AL31" s="8">
        <f>+AL29/AL30-1</f>
        <v>-8.2441391233669004E-2</v>
      </c>
    </row>
    <row r="32" spans="2:136" s="14" customFormat="1" x14ac:dyDescent="0.2">
      <c r="B32" s="14" t="s">
        <v>80</v>
      </c>
      <c r="U32" s="14">
        <f t="shared" ref="U32:X32" si="25">+U12/T12-1</f>
        <v>0.14020028612303292</v>
      </c>
      <c r="V32" s="14">
        <f t="shared" si="25"/>
        <v>-0.27101631116687575</v>
      </c>
      <c r="W32" s="14">
        <f t="shared" si="25"/>
        <v>-0.10154905335628228</v>
      </c>
      <c r="X32" s="14">
        <f t="shared" si="25"/>
        <v>0.46743295019157083</v>
      </c>
      <c r="Y32" s="14">
        <f>+Y12/X12-1</f>
        <v>1.0300261096605743</v>
      </c>
      <c r="Z32" s="14">
        <f t="shared" ref="Z32:AI32" si="26">+Z12/Y12-1</f>
        <v>0.24</v>
      </c>
      <c r="AA32" s="14">
        <f t="shared" si="26"/>
        <v>0.24</v>
      </c>
      <c r="AB32" s="14">
        <f t="shared" si="26"/>
        <v>0.24</v>
      </c>
      <c r="AC32" s="14">
        <f t="shared" si="26"/>
        <v>0.24</v>
      </c>
      <c r="AD32" s="14">
        <f t="shared" si="26"/>
        <v>0.24</v>
      </c>
      <c r="AE32" s="14">
        <f t="shared" si="26"/>
        <v>0.24</v>
      </c>
      <c r="AF32" s="14">
        <f t="shared" si="26"/>
        <v>0.24</v>
      </c>
      <c r="AG32" s="14">
        <f t="shared" si="26"/>
        <v>0.23999999999999977</v>
      </c>
      <c r="AH32" s="14">
        <f t="shared" si="26"/>
        <v>0.24</v>
      </c>
      <c r="AI32" s="14">
        <f t="shared" si="26"/>
        <v>0.24</v>
      </c>
    </row>
    <row r="33" spans="2:35" s="14" customFormat="1" x14ac:dyDescent="0.2">
      <c r="B33" s="14" t="s">
        <v>81</v>
      </c>
      <c r="U33" s="14">
        <f t="shared" ref="U33:X33" si="27">+U13/T13-1</f>
        <v>0.22317596566523612</v>
      </c>
      <c r="V33" s="14">
        <f t="shared" si="27"/>
        <v>4.912280701754379E-2</v>
      </c>
      <c r="W33" s="14">
        <f t="shared" si="27"/>
        <v>0.37792642140468224</v>
      </c>
      <c r="X33" s="14">
        <f t="shared" si="27"/>
        <v>0.27669902912621369</v>
      </c>
      <c r="Y33" s="14">
        <f>+Y13/X13-1</f>
        <v>0.24524714828897332</v>
      </c>
      <c r="Z33" s="14">
        <f t="shared" ref="Z33:AI33" si="28">+Z13/Y13-1</f>
        <v>0.24</v>
      </c>
      <c r="AA33" s="14">
        <f t="shared" si="28"/>
        <v>0.24</v>
      </c>
      <c r="AB33" s="14">
        <f t="shared" si="28"/>
        <v>0.24</v>
      </c>
      <c r="AC33" s="14">
        <f t="shared" si="28"/>
        <v>0.24</v>
      </c>
      <c r="AD33" s="14">
        <f t="shared" si="28"/>
        <v>0.24</v>
      </c>
      <c r="AE33" s="14">
        <f t="shared" si="28"/>
        <v>0.24</v>
      </c>
      <c r="AF33" s="14">
        <f t="shared" si="28"/>
        <v>0.24</v>
      </c>
      <c r="AG33" s="14">
        <f t="shared" si="28"/>
        <v>0.24</v>
      </c>
      <c r="AH33" s="14">
        <f t="shared" si="28"/>
        <v>0.24</v>
      </c>
      <c r="AI33" s="14">
        <f t="shared" si="28"/>
        <v>0.24</v>
      </c>
    </row>
    <row r="35" spans="2:35" x14ac:dyDescent="0.2">
      <c r="B35" s="7" t="s">
        <v>45</v>
      </c>
      <c r="J35" s="3">
        <f>+J36-J48</f>
        <v>2700</v>
      </c>
      <c r="K35" s="3">
        <f>+K36-K48</f>
        <v>3179</v>
      </c>
      <c r="L35" s="3">
        <f>+L36-L48</f>
        <v>1629</v>
      </c>
      <c r="M35" s="3">
        <f>+M36-M48</f>
        <v>569</v>
      </c>
      <c r="N35" s="3">
        <f>+N36-N48</f>
        <v>-1061</v>
      </c>
      <c r="O35" s="3">
        <f>+O36-O48</f>
        <v>-466</v>
      </c>
      <c r="Y35" s="3">
        <f>+O35</f>
        <v>-466</v>
      </c>
      <c r="Z35" s="3">
        <f>+Y35+Z21</f>
        <v>5899.931999999998</v>
      </c>
      <c r="AA35" s="3">
        <f t="shared" ref="AA35:AI35" si="29">+Z35+AA21</f>
        <v>13420.560015999996</v>
      </c>
      <c r="AB35" s="3">
        <f t="shared" si="29"/>
        <v>22276.629588927994</v>
      </c>
      <c r="AC35" s="3">
        <f t="shared" si="29"/>
        <v>32669.227961223412</v>
      </c>
      <c r="AD35" s="3">
        <f t="shared" si="29"/>
        <v>44825.928685241517</v>
      </c>
      <c r="AE35" s="3">
        <f t="shared" si="29"/>
        <v>57947.463069852383</v>
      </c>
      <c r="AF35" s="3">
        <f t="shared" si="29"/>
        <v>71996.385733339514</v>
      </c>
      <c r="AG35" s="3">
        <f t="shared" si="29"/>
        <v>86893.706366993996</v>
      </c>
      <c r="AH35" s="3">
        <f t="shared" si="29"/>
        <v>102505.00976934942</v>
      </c>
      <c r="AI35" s="3">
        <f t="shared" si="29"/>
        <v>118622.77556888653</v>
      </c>
    </row>
    <row r="36" spans="2:35" x14ac:dyDescent="0.2">
      <c r="B36" s="7" t="s">
        <v>6</v>
      </c>
      <c r="J36" s="3">
        <f>12221+175+2789</f>
        <v>15185</v>
      </c>
      <c r="K36" s="3">
        <f>14140+359+806</f>
        <v>15305</v>
      </c>
      <c r="L36" s="3">
        <f>14602+640+440</f>
        <v>15682</v>
      </c>
      <c r="M36" s="3">
        <f>13294+624+420</f>
        <v>14338</v>
      </c>
      <c r="N36" s="3">
        <f>12107+576+440</f>
        <v>13123</v>
      </c>
      <c r="O36" s="3">
        <f>15629+362+443</f>
        <v>16434</v>
      </c>
    </row>
    <row r="37" spans="2:35" x14ac:dyDescent="0.2">
      <c r="B37" s="7" t="s">
        <v>46</v>
      </c>
      <c r="J37" s="3">
        <v>2229</v>
      </c>
      <c r="K37" s="3">
        <v>2048</v>
      </c>
      <c r="L37" s="3">
        <v>2805</v>
      </c>
      <c r="M37" s="3">
        <v>3447</v>
      </c>
      <c r="N37" s="3">
        <v>3253</v>
      </c>
      <c r="O37" s="3">
        <v>3296</v>
      </c>
    </row>
    <row r="38" spans="2:35" x14ac:dyDescent="0.2">
      <c r="B38" s="7" t="s">
        <v>47</v>
      </c>
      <c r="J38" s="3">
        <v>477</v>
      </c>
      <c r="K38" s="3">
        <v>655</v>
      </c>
      <c r="L38" s="3">
        <v>849</v>
      </c>
      <c r="M38" s="3">
        <v>680</v>
      </c>
      <c r="N38" s="3">
        <v>644</v>
      </c>
      <c r="O38" s="3">
        <v>737</v>
      </c>
    </row>
    <row r="39" spans="2:35" x14ac:dyDescent="0.2">
      <c r="B39" s="7" t="s">
        <v>30</v>
      </c>
      <c r="J39" s="3">
        <v>696</v>
      </c>
      <c r="K39" s="3">
        <v>430</v>
      </c>
      <c r="L39" s="3">
        <v>453</v>
      </c>
      <c r="M39" s="3">
        <v>434</v>
      </c>
      <c r="N39" s="3">
        <v>454</v>
      </c>
      <c r="O39" s="3">
        <v>452</v>
      </c>
    </row>
    <row r="40" spans="2:35" x14ac:dyDescent="0.2">
      <c r="B40" s="7" t="s">
        <v>48</v>
      </c>
      <c r="J40" s="3">
        <v>669</v>
      </c>
      <c r="K40" s="3">
        <v>699</v>
      </c>
      <c r="L40" s="3">
        <v>732</v>
      </c>
      <c r="M40" s="3">
        <v>733</v>
      </c>
      <c r="N40" s="3">
        <v>784</v>
      </c>
      <c r="O40" s="3">
        <v>805</v>
      </c>
    </row>
    <row r="41" spans="2:35" x14ac:dyDescent="0.2">
      <c r="B41" s="7" t="s">
        <v>49</v>
      </c>
      <c r="J41" s="3">
        <v>645</v>
      </c>
      <c r="K41" s="3">
        <v>622</v>
      </c>
      <c r="L41" s="3">
        <v>608</v>
      </c>
      <c r="M41" s="3">
        <v>643</v>
      </c>
      <c r="N41" s="3">
        <v>705</v>
      </c>
      <c r="O41" s="3">
        <v>663</v>
      </c>
    </row>
    <row r="42" spans="2:35" x14ac:dyDescent="0.2">
      <c r="B42" s="7" t="s">
        <v>50</v>
      </c>
      <c r="J42" s="3">
        <f>1829+2807</f>
        <v>4636</v>
      </c>
      <c r="K42" s="3">
        <f>1777+2816</f>
        <v>4593</v>
      </c>
      <c r="L42" s="3">
        <f>1722+2821</f>
        <v>4543</v>
      </c>
      <c r="M42" s="3">
        <f>1660+2804</f>
        <v>4464</v>
      </c>
      <c r="N42" s="3">
        <f>1613+2826</f>
        <v>4439</v>
      </c>
      <c r="O42" s="3">
        <f>1553+2815</f>
        <v>4368</v>
      </c>
    </row>
    <row r="43" spans="2:35" x14ac:dyDescent="0.2">
      <c r="B43" s="7" t="s">
        <v>30</v>
      </c>
      <c r="J43" s="3">
        <v>824</v>
      </c>
      <c r="K43" s="3">
        <v>854</v>
      </c>
      <c r="L43" s="3">
        <v>886</v>
      </c>
      <c r="M43" s="3">
        <v>896</v>
      </c>
      <c r="N43" s="3">
        <v>940</v>
      </c>
      <c r="O43" s="3">
        <v>973</v>
      </c>
    </row>
    <row r="44" spans="2:35" s="9" customFormat="1" x14ac:dyDescent="0.2">
      <c r="B44" s="8" t="s">
        <v>51</v>
      </c>
      <c r="J44" s="9">
        <f>+SUM(J36:J43)</f>
        <v>25361</v>
      </c>
      <c r="K44" s="9">
        <f>+SUM(K36:K43)</f>
        <v>25206</v>
      </c>
      <c r="L44" s="9">
        <f>+SUM(L36:L43)</f>
        <v>26558</v>
      </c>
      <c r="M44" s="9">
        <f>+SUM(M36:M43)</f>
        <v>25635</v>
      </c>
      <c r="N44" s="9">
        <f>+SUM(N36:N43)</f>
        <v>24342</v>
      </c>
      <c r="O44" s="9">
        <f>+SUM(O36:O43)</f>
        <v>27728</v>
      </c>
    </row>
    <row r="45" spans="2:35" x14ac:dyDescent="0.2">
      <c r="B45" s="7" t="s">
        <v>52</v>
      </c>
      <c r="J45" s="3">
        <v>2507</v>
      </c>
      <c r="K45" s="3">
        <v>2132</v>
      </c>
      <c r="L45" s="3">
        <v>2123</v>
      </c>
      <c r="M45" s="3">
        <v>3020</v>
      </c>
      <c r="N45" s="3">
        <v>3480</v>
      </c>
      <c r="O45" s="3">
        <v>3268</v>
      </c>
    </row>
    <row r="46" spans="2:35" x14ac:dyDescent="0.2">
      <c r="B46" s="7" t="s">
        <v>53</v>
      </c>
      <c r="J46" s="3">
        <v>3244</v>
      </c>
      <c r="K46" s="3">
        <v>3584</v>
      </c>
      <c r="L46" s="3">
        <v>3463</v>
      </c>
      <c r="M46" s="3">
        <v>4182</v>
      </c>
      <c r="N46" s="3">
        <v>4635</v>
      </c>
      <c r="O46" s="3">
        <v>4774</v>
      </c>
    </row>
    <row r="47" spans="2:35" x14ac:dyDescent="0.2">
      <c r="B47" s="7" t="s">
        <v>54</v>
      </c>
      <c r="J47" s="3">
        <v>2223</v>
      </c>
      <c r="K47" s="3">
        <v>4500</v>
      </c>
      <c r="L47" s="3">
        <v>6040</v>
      </c>
      <c r="M47" s="3">
        <v>3717</v>
      </c>
      <c r="N47" s="3">
        <v>3254</v>
      </c>
      <c r="O47" s="3">
        <v>5328</v>
      </c>
    </row>
    <row r="48" spans="2:35" x14ac:dyDescent="0.2">
      <c r="B48" s="7" t="s">
        <v>7</v>
      </c>
      <c r="J48" s="3">
        <f>500+11985</f>
        <v>12485</v>
      </c>
      <c r="K48" s="3">
        <f>854+11272</f>
        <v>12126</v>
      </c>
      <c r="L48" s="3">
        <f>855+13198</f>
        <v>14053</v>
      </c>
      <c r="M48" s="3">
        <f>1913+11856</f>
        <v>13769</v>
      </c>
      <c r="N48" s="3">
        <f>1961+12223</f>
        <v>14184</v>
      </c>
      <c r="O48" s="3">
        <f>3462+13438</f>
        <v>16900</v>
      </c>
      <c r="P48" s="15"/>
    </row>
    <row r="49" spans="2:15" x14ac:dyDescent="0.2">
      <c r="B49" s="7" t="s">
        <v>55</v>
      </c>
      <c r="J49" s="3">
        <v>685</v>
      </c>
      <c r="K49" s="3">
        <v>368</v>
      </c>
      <c r="L49" s="3">
        <v>338</v>
      </c>
      <c r="M49" s="3">
        <v>350</v>
      </c>
      <c r="N49" s="3">
        <v>258</v>
      </c>
      <c r="O49" s="3">
        <v>287</v>
      </c>
    </row>
    <row r="50" spans="2:15" x14ac:dyDescent="0.2">
      <c r="B50" s="7" t="s">
        <v>49</v>
      </c>
      <c r="J50" s="3">
        <v>552</v>
      </c>
      <c r="K50" s="3">
        <v>539</v>
      </c>
      <c r="L50" s="3">
        <v>533</v>
      </c>
      <c r="M50" s="3">
        <v>547</v>
      </c>
      <c r="N50" s="3">
        <v>599</v>
      </c>
      <c r="O50" s="3">
        <v>556</v>
      </c>
    </row>
    <row r="51" spans="2:15" x14ac:dyDescent="0.2">
      <c r="B51" s="7" t="s">
        <v>28</v>
      </c>
      <c r="J51" s="3">
        <v>711</v>
      </c>
      <c r="K51" s="3">
        <v>711</v>
      </c>
      <c r="L51" s="3">
        <v>516</v>
      </c>
      <c r="M51" s="3">
        <v>515</v>
      </c>
      <c r="N51" s="3">
        <v>515</v>
      </c>
      <c r="O51" s="3">
        <v>515</v>
      </c>
    </row>
    <row r="52" spans="2:15" x14ac:dyDescent="0.2">
      <c r="B52" s="7" t="s">
        <v>30</v>
      </c>
      <c r="J52" s="3">
        <v>172</v>
      </c>
      <c r="K52" s="3">
        <v>172</v>
      </c>
      <c r="L52" s="3">
        <v>157</v>
      </c>
      <c r="M52" s="3">
        <v>160</v>
      </c>
      <c r="N52" s="3">
        <v>161</v>
      </c>
      <c r="O52" s="3">
        <v>152</v>
      </c>
    </row>
    <row r="53" spans="2:15" s="9" customFormat="1" x14ac:dyDescent="0.2">
      <c r="B53" s="8" t="s">
        <v>56</v>
      </c>
      <c r="J53" s="9">
        <f>+SUM(J45:J52)</f>
        <v>22579</v>
      </c>
      <c r="K53" s="9">
        <f>+SUM(K45:K52)</f>
        <v>24132</v>
      </c>
      <c r="L53" s="9">
        <f>+SUM(L45:L52)</f>
        <v>27223</v>
      </c>
      <c r="M53" s="9">
        <f>+SUM(M45:M52)</f>
        <v>26260</v>
      </c>
      <c r="N53" s="9">
        <f>+SUM(N45:N52)</f>
        <v>27086</v>
      </c>
      <c r="O53" s="9">
        <f>+SUM(O45:O52)</f>
        <v>31780</v>
      </c>
    </row>
    <row r="54" spans="2:15" x14ac:dyDescent="0.2">
      <c r="B54" s="7" t="s">
        <v>57</v>
      </c>
      <c r="J54" s="3">
        <f>+J44-J53</f>
        <v>2782</v>
      </c>
      <c r="K54" s="3">
        <f>+K44-K53</f>
        <v>1074</v>
      </c>
      <c r="L54" s="3">
        <f>+L44-L53</f>
        <v>-665</v>
      </c>
      <c r="M54" s="3">
        <f>+M44-M53</f>
        <v>-625</v>
      </c>
      <c r="N54" s="3">
        <f>+N44-N53</f>
        <v>-2744</v>
      </c>
      <c r="O54" s="3">
        <f>+O44-O53</f>
        <v>-4052</v>
      </c>
    </row>
    <row r="55" spans="2:15" x14ac:dyDescent="0.2">
      <c r="B55" s="7" t="s">
        <v>58</v>
      </c>
      <c r="J55" s="3">
        <f>+J54+J53</f>
        <v>25361</v>
      </c>
      <c r="K55" s="3">
        <f>+K54+K53</f>
        <v>25206</v>
      </c>
      <c r="L55" s="3">
        <f>+L54+L53</f>
        <v>26558</v>
      </c>
      <c r="M55" s="3">
        <f>+M54+M53</f>
        <v>25635</v>
      </c>
      <c r="N55" s="3">
        <f>+N54+N53</f>
        <v>24342</v>
      </c>
      <c r="O55" s="3">
        <f>+O54+O53</f>
        <v>27728</v>
      </c>
    </row>
    <row r="57" spans="2:15" x14ac:dyDescent="0.2">
      <c r="B57" s="7" t="s">
        <v>61</v>
      </c>
      <c r="N57" s="3">
        <f>+SUM(K21:N21)</f>
        <v>4798</v>
      </c>
    </row>
    <row r="58" spans="2:15" s="7" customFormat="1" x14ac:dyDescent="0.2">
      <c r="B58" s="7" t="s">
        <v>60</v>
      </c>
      <c r="J58" s="7">
        <f t="shared" ref="J58:M58" si="30">+$N$57/(J37+J38+J39+J40+J41+J43)</f>
        <v>0.86606498194945847</v>
      </c>
      <c r="K58" s="7">
        <f t="shared" si="30"/>
        <v>0.90391861341371516</v>
      </c>
      <c r="L58" s="7">
        <f t="shared" si="30"/>
        <v>0.75761882204326547</v>
      </c>
      <c r="M58" s="7">
        <f t="shared" si="30"/>
        <v>0.70218059417532563</v>
      </c>
      <c r="N58" s="7">
        <f>+$N$57/(N37+N38+N39+N40+N41+N43)</f>
        <v>0.70766961651917404</v>
      </c>
      <c r="O58" s="7">
        <f>+$N$57/(O37+O38+O39+O40+O41+O43)</f>
        <v>0.6927519491770141</v>
      </c>
    </row>
    <row r="60" spans="2:15" x14ac:dyDescent="0.2">
      <c r="B60" s="7" t="s">
        <v>59</v>
      </c>
      <c r="G60" s="3">
        <f>+G21</f>
        <v>-553</v>
      </c>
      <c r="K60" s="3">
        <f>+K21</f>
        <v>387</v>
      </c>
      <c r="L60" s="3">
        <f>+L21</f>
        <v>1412</v>
      </c>
      <c r="M60" s="3">
        <f>+M21</f>
        <v>2642</v>
      </c>
      <c r="N60" s="3">
        <f>+N21</f>
        <v>357</v>
      </c>
      <c r="O60" s="3">
        <f>+O21</f>
        <v>913</v>
      </c>
    </row>
    <row r="61" spans="2:15" x14ac:dyDescent="0.2">
      <c r="B61" s="7" t="s">
        <v>62</v>
      </c>
      <c r="G61" s="3">
        <v>-700</v>
      </c>
      <c r="K61" s="3">
        <v>266</v>
      </c>
      <c r="L61" s="3">
        <f>1556-K61</f>
        <v>1290</v>
      </c>
      <c r="M61" s="3">
        <f>4067-SUM(K61:L61)</f>
        <v>2511</v>
      </c>
      <c r="N61" s="3">
        <f>4289-SUM(K61:M61)</f>
        <v>222</v>
      </c>
      <c r="O61" s="3">
        <v>776</v>
      </c>
    </row>
    <row r="62" spans="2:15" x14ac:dyDescent="0.2">
      <c r="B62" s="7" t="s">
        <v>63</v>
      </c>
      <c r="G62" s="3">
        <v>111</v>
      </c>
      <c r="K62" s="3">
        <v>120</v>
      </c>
      <c r="L62" s="3">
        <f>241-K62</f>
        <v>121</v>
      </c>
      <c r="M62" s="3">
        <f>370-SUM(K62:L62)</f>
        <v>129</v>
      </c>
      <c r="N62" s="3">
        <f>504-SUM(K62:M62)</f>
        <v>134</v>
      </c>
      <c r="O62" s="3">
        <v>137</v>
      </c>
    </row>
    <row r="63" spans="2:15" x14ac:dyDescent="0.2">
      <c r="B63" s="7" t="s">
        <v>64</v>
      </c>
      <c r="G63" s="3">
        <v>55</v>
      </c>
      <c r="K63" s="3">
        <v>54</v>
      </c>
      <c r="L63" s="3">
        <f>135-K63</f>
        <v>81</v>
      </c>
      <c r="M63" s="3">
        <f>224-SUM(K63:L63)</f>
        <v>89</v>
      </c>
      <c r="N63" s="3">
        <f>330-SUM(K63:M63)</f>
        <v>106</v>
      </c>
      <c r="O63" s="3">
        <v>89</v>
      </c>
    </row>
    <row r="64" spans="2:15" x14ac:dyDescent="0.2">
      <c r="B64" s="7" t="s">
        <v>55</v>
      </c>
      <c r="G64" s="3">
        <v>-216</v>
      </c>
      <c r="K64" s="3">
        <v>-340</v>
      </c>
      <c r="L64" s="3">
        <f>-389-K64</f>
        <v>-49</v>
      </c>
      <c r="M64" s="3">
        <f>-409-SUM(K64:L64)</f>
        <v>-20</v>
      </c>
      <c r="N64" s="3">
        <f>-478-SUM(K64:M64)</f>
        <v>-69</v>
      </c>
      <c r="O64" s="3">
        <v>-35</v>
      </c>
    </row>
    <row r="65" spans="2:15" x14ac:dyDescent="0.2">
      <c r="B65" s="7" t="s">
        <v>65</v>
      </c>
      <c r="G65" s="3">
        <v>987</v>
      </c>
      <c r="K65" s="3">
        <v>133</v>
      </c>
      <c r="L65" s="3">
        <f>167-K65</f>
        <v>34</v>
      </c>
      <c r="M65" s="3">
        <f>151-SUM(K65:L65)</f>
        <v>-16</v>
      </c>
      <c r="N65" s="3">
        <f>131-SUM(K65:M65)</f>
        <v>-20</v>
      </c>
      <c r="O65" s="3">
        <v>16</v>
      </c>
    </row>
    <row r="66" spans="2:15" x14ac:dyDescent="0.2">
      <c r="B66" s="7" t="s">
        <v>66</v>
      </c>
      <c r="G66" s="3">
        <v>93</v>
      </c>
      <c r="K66" s="3">
        <v>113</v>
      </c>
      <c r="L66" s="3">
        <f>241-K66</f>
        <v>128</v>
      </c>
      <c r="M66" s="3">
        <f>369-SUM(K66:L66)</f>
        <v>128</v>
      </c>
      <c r="N66" s="3">
        <f>530-SUM(K66:M66)</f>
        <v>161</v>
      </c>
      <c r="O66" s="3">
        <v>144</v>
      </c>
    </row>
    <row r="67" spans="2:15" x14ac:dyDescent="0.2">
      <c r="B67" s="7" t="s">
        <v>49</v>
      </c>
      <c r="G67" s="3">
        <v>39</v>
      </c>
      <c r="K67" s="3">
        <v>41</v>
      </c>
      <c r="L67" s="3">
        <f>80-K67</f>
        <v>39</v>
      </c>
      <c r="M67" s="3">
        <f>120-SUM(K67:L67)</f>
        <v>40</v>
      </c>
      <c r="N67" s="3">
        <f>161-SUM(K67:M67)</f>
        <v>41</v>
      </c>
      <c r="O67" s="3">
        <v>40</v>
      </c>
    </row>
    <row r="68" spans="2:15" x14ac:dyDescent="0.2">
      <c r="B68" s="7" t="s">
        <v>67</v>
      </c>
      <c r="G68" s="3">
        <v>-30</v>
      </c>
      <c r="K68" s="3">
        <v>26</v>
      </c>
      <c r="L68" s="3">
        <f>34-K68</f>
        <v>8</v>
      </c>
      <c r="M68" s="3">
        <f>-2-SUM(K68:L68)</f>
        <v>-36</v>
      </c>
      <c r="N68" s="3">
        <f>163-SUM(K68:M68)</f>
        <v>165</v>
      </c>
      <c r="O68" s="3">
        <v>-167</v>
      </c>
    </row>
    <row r="69" spans="2:15" x14ac:dyDescent="0.2">
      <c r="B69" s="7" t="s">
        <v>30</v>
      </c>
      <c r="G69" s="3">
        <v>30</v>
      </c>
      <c r="K69" s="3">
        <v>0</v>
      </c>
      <c r="L69" s="3">
        <v>0</v>
      </c>
      <c r="M69" s="3">
        <f>3-SUM(K69:L69)</f>
        <v>3</v>
      </c>
      <c r="N69" s="3">
        <f>5-SUM(K69:M69)</f>
        <v>2</v>
      </c>
      <c r="O69" s="3">
        <v>0</v>
      </c>
    </row>
    <row r="70" spans="2:15" x14ac:dyDescent="0.2">
      <c r="B70" s="7" t="s">
        <v>46</v>
      </c>
      <c r="G70" s="3">
        <v>-326</v>
      </c>
      <c r="K70" s="3">
        <v>158</v>
      </c>
      <c r="L70" s="3">
        <f>-672-K70</f>
        <v>-830</v>
      </c>
      <c r="M70" s="3">
        <f>-1506-SUM(K70:L70)</f>
        <v>-834</v>
      </c>
      <c r="N70" s="3">
        <f>-1330-SUM(K70:M70)</f>
        <v>176</v>
      </c>
      <c r="O70" s="3">
        <v>-185</v>
      </c>
    </row>
    <row r="71" spans="2:15" x14ac:dyDescent="0.2">
      <c r="B71" s="7" t="s">
        <v>47</v>
      </c>
      <c r="G71" s="3">
        <v>-56</v>
      </c>
      <c r="K71" s="3">
        <v>118</v>
      </c>
      <c r="L71" s="3">
        <f>-90-K71</f>
        <v>-208</v>
      </c>
      <c r="M71" s="3">
        <f>96-SUM(K71:L71)</f>
        <v>186</v>
      </c>
      <c r="N71" s="3">
        <f>155-SUM(K71:M71)</f>
        <v>59</v>
      </c>
      <c r="O71" s="3">
        <v>-98</v>
      </c>
    </row>
    <row r="72" spans="2:15" x14ac:dyDescent="0.2">
      <c r="B72" s="7" t="s">
        <v>54</v>
      </c>
      <c r="G72" s="3">
        <v>1868</v>
      </c>
      <c r="K72" s="3">
        <v>2038</v>
      </c>
      <c r="L72" s="3">
        <f>3129-K72</f>
        <v>1091</v>
      </c>
      <c r="M72" s="3">
        <f>2644-SUM(K72:L72)</f>
        <v>-485</v>
      </c>
      <c r="N72" s="3">
        <f>2742-SUM(K72:M72)</f>
        <v>98</v>
      </c>
      <c r="O72" s="3">
        <v>2123</v>
      </c>
    </row>
    <row r="73" spans="2:15" x14ac:dyDescent="0.2">
      <c r="B73" s="7" t="s">
        <v>30</v>
      </c>
      <c r="G73" s="3">
        <v>-160</v>
      </c>
      <c r="K73" s="3">
        <v>162</v>
      </c>
      <c r="L73" s="3">
        <f>194-K73</f>
        <v>32</v>
      </c>
      <c r="M73" s="3">
        <f>-129-SUM(K73:L73)</f>
        <v>-323</v>
      </c>
      <c r="N73" s="3">
        <f>142-SUM(K73:M73)</f>
        <v>271</v>
      </c>
      <c r="O73" s="3">
        <v>-136</v>
      </c>
    </row>
    <row r="74" spans="2:15" x14ac:dyDescent="0.2">
      <c r="B74" s="7" t="s">
        <v>77</v>
      </c>
      <c r="G74" s="3">
        <f>+SUM(G70:G73)</f>
        <v>1326</v>
      </c>
      <c r="K74" s="3">
        <f>+SUM(K70:K73)</f>
        <v>2476</v>
      </c>
      <c r="L74" s="3">
        <f>+SUM(L70:L73)</f>
        <v>85</v>
      </c>
      <c r="M74" s="3">
        <f>+SUM(M70:M73)</f>
        <v>-1456</v>
      </c>
      <c r="N74" s="3">
        <f>+SUM(N70:N73)</f>
        <v>604</v>
      </c>
      <c r="O74" s="3">
        <f>+SUM(O70:O73)</f>
        <v>1704</v>
      </c>
    </row>
    <row r="75" spans="2:15" s="9" customFormat="1" x14ac:dyDescent="0.2">
      <c r="B75" s="8" t="s">
        <v>68</v>
      </c>
      <c r="G75" s="9">
        <f>+SUM(G61:G69)+G74</f>
        <v>1695</v>
      </c>
      <c r="K75" s="9">
        <f>+SUM(K61:K69)+K74</f>
        <v>2889</v>
      </c>
      <c r="L75" s="9">
        <f>+SUM(L61:L69)+L74</f>
        <v>1737</v>
      </c>
      <c r="M75" s="9">
        <f>+SUM(M61:M69)+M74</f>
        <v>1372</v>
      </c>
      <c r="N75" s="9">
        <f>+SUM(N61:N69)+N74</f>
        <v>1346</v>
      </c>
      <c r="O75" s="9">
        <f>+SUM(O61:O69)+O74</f>
        <v>2704</v>
      </c>
    </row>
    <row r="77" spans="2:15" x14ac:dyDescent="0.2">
      <c r="B77" s="7" t="s">
        <v>70</v>
      </c>
      <c r="G77" s="3">
        <v>0</v>
      </c>
      <c r="K77" s="3">
        <v>1683</v>
      </c>
      <c r="L77" s="3">
        <f>+-12+1737-K77</f>
        <v>42</v>
      </c>
      <c r="M77" s="3">
        <f>-12+1785-SUM(K77:L77)</f>
        <v>48</v>
      </c>
      <c r="N77" s="3">
        <f>-12+1840-SUM(K77:M77)</f>
        <v>55</v>
      </c>
      <c r="O77" s="3">
        <v>218</v>
      </c>
    </row>
    <row r="78" spans="2:15" x14ac:dyDescent="0.2">
      <c r="B78" s="7" t="s">
        <v>69</v>
      </c>
      <c r="G78" s="3">
        <v>-109</v>
      </c>
      <c r="K78" s="3">
        <v>-88</v>
      </c>
      <c r="L78" s="3">
        <f>-180-K78</f>
        <v>-92</v>
      </c>
      <c r="M78" s="3">
        <f>-251-SUM(K78:L78)</f>
        <v>-71</v>
      </c>
      <c r="N78" s="3">
        <f>-345-SUM(K78:M78)</f>
        <v>-94</v>
      </c>
      <c r="O78" s="3">
        <v>-130</v>
      </c>
    </row>
    <row r="79" spans="2:15" x14ac:dyDescent="0.2">
      <c r="B79" s="7" t="s">
        <v>30</v>
      </c>
      <c r="G79" s="3">
        <v>-12</v>
      </c>
      <c r="K79" s="3">
        <v>-9</v>
      </c>
      <c r="L79" s="3">
        <f>2-K79</f>
        <v>11</v>
      </c>
      <c r="M79" s="3">
        <f>3-SUM(K79:L79)</f>
        <v>1</v>
      </c>
      <c r="N79" s="3">
        <f>3-SUM(K79:M79)</f>
        <v>0</v>
      </c>
      <c r="O79" s="3">
        <v>-19</v>
      </c>
    </row>
    <row r="80" spans="2:15" x14ac:dyDescent="0.2">
      <c r="B80" s="7" t="s">
        <v>71</v>
      </c>
      <c r="G80" s="3">
        <f>+SUM(G77:G79)</f>
        <v>-121</v>
      </c>
      <c r="K80" s="3">
        <f>+SUM(K77:K79)</f>
        <v>1586</v>
      </c>
      <c r="L80" s="3">
        <f>+SUM(L77:L79)</f>
        <v>-39</v>
      </c>
      <c r="M80" s="3">
        <f>+SUM(M77:M79)</f>
        <v>-22</v>
      </c>
      <c r="N80" s="3">
        <f>+SUM(N77:N79)</f>
        <v>-39</v>
      </c>
      <c r="O80" s="3">
        <f>+SUM(O77:O79)</f>
        <v>69</v>
      </c>
    </row>
    <row r="82" spans="2:15" x14ac:dyDescent="0.2">
      <c r="B82" s="7" t="s">
        <v>72</v>
      </c>
      <c r="G82" s="3">
        <v>-1102</v>
      </c>
      <c r="K82" s="3">
        <v>-500</v>
      </c>
      <c r="L82" s="3">
        <f>1893-500-K82</f>
        <v>1893</v>
      </c>
      <c r="M82" s="3">
        <f>1893-500-SUM(K82:L82)</f>
        <v>0</v>
      </c>
      <c r="N82" s="3">
        <f>1893-500-SUM(K82:M82)</f>
        <v>0</v>
      </c>
      <c r="O82" s="3">
        <v>2959</v>
      </c>
    </row>
    <row r="83" spans="2:15" x14ac:dyDescent="0.2">
      <c r="B83" s="7" t="s">
        <v>73</v>
      </c>
      <c r="G83" s="3">
        <v>-1049</v>
      </c>
      <c r="K83" s="3">
        <v>-2150</v>
      </c>
      <c r="L83" s="3">
        <f>-5249-K83</f>
        <v>-3099</v>
      </c>
      <c r="M83" s="3">
        <f>-7889-SUM(K83:L83)</f>
        <v>-2640</v>
      </c>
      <c r="N83" s="3">
        <f>-10377-SUM(K83:M83)</f>
        <v>-2488</v>
      </c>
      <c r="O83" s="3">
        <v>-1856</v>
      </c>
    </row>
    <row r="84" spans="2:15" x14ac:dyDescent="0.2">
      <c r="B84" s="7" t="s">
        <v>78</v>
      </c>
      <c r="O84" s="3">
        <v>-299</v>
      </c>
    </row>
    <row r="85" spans="2:15" x14ac:dyDescent="0.2">
      <c r="B85" s="7" t="s">
        <v>74</v>
      </c>
      <c r="G85" s="3">
        <v>3</v>
      </c>
      <c r="K85" s="3">
        <v>105</v>
      </c>
      <c r="L85" s="3">
        <f>109-K85</f>
        <v>4</v>
      </c>
      <c r="M85" s="3">
        <f>122-SUM(K85:L85)</f>
        <v>13</v>
      </c>
      <c r="N85" s="3">
        <f>134-SUM(K85:M85)</f>
        <v>12</v>
      </c>
      <c r="O85" s="3">
        <v>6</v>
      </c>
    </row>
    <row r="86" spans="2:15" x14ac:dyDescent="0.2">
      <c r="B86" s="7" t="s">
        <v>30</v>
      </c>
      <c r="G86" s="3">
        <v>9</v>
      </c>
      <c r="K86" s="3">
        <v>-17</v>
      </c>
      <c r="L86" s="3">
        <f>-40-K86</f>
        <v>-23</v>
      </c>
      <c r="M86" s="3">
        <f>-45-SUM(K86:L86)</f>
        <v>-5</v>
      </c>
      <c r="N86" s="3">
        <f>-59-SUM(K86:M86)</f>
        <v>-14</v>
      </c>
      <c r="O86" s="3">
        <v>-26</v>
      </c>
    </row>
    <row r="87" spans="2:15" x14ac:dyDescent="0.2">
      <c r="B87" s="7" t="s">
        <v>75</v>
      </c>
      <c r="G87" s="3">
        <f>+SUM(G82:G86)</f>
        <v>-2139</v>
      </c>
      <c r="K87" s="3">
        <f>+SUM(K82:K86)</f>
        <v>-2562</v>
      </c>
      <c r="L87" s="3">
        <f>+SUM(L82:L86)</f>
        <v>-1225</v>
      </c>
      <c r="M87" s="3">
        <f>+SUM(M82:M86)</f>
        <v>-2632</v>
      </c>
      <c r="N87" s="3">
        <f>+SUM(N82:N86)</f>
        <v>-2490</v>
      </c>
      <c r="O87" s="3">
        <f>+SUM(O82:O86)</f>
        <v>784</v>
      </c>
    </row>
    <row r="89" spans="2:15" x14ac:dyDescent="0.2">
      <c r="B89" s="7" t="s">
        <v>76</v>
      </c>
      <c r="G89" s="3">
        <v>-9</v>
      </c>
      <c r="K89" s="3">
        <v>8</v>
      </c>
      <c r="L89" s="3">
        <f>-7-K89</f>
        <v>-15</v>
      </c>
      <c r="M89" s="3">
        <f>-29-SUM(K89:L89)</f>
        <v>-22</v>
      </c>
      <c r="N89" s="3">
        <f>-29-SUM(L89:M89)</f>
        <v>8</v>
      </c>
      <c r="O89" s="3">
        <f>-29-SUM(M89:N89)</f>
        <v>-15</v>
      </c>
    </row>
    <row r="90" spans="2:15" x14ac:dyDescent="0.2">
      <c r="B90" s="7" t="s">
        <v>67</v>
      </c>
      <c r="G90" s="3">
        <f>+G75+G80+G87+G89</f>
        <v>-574</v>
      </c>
      <c r="K90" s="3">
        <f>+K75+K80+K87+K89</f>
        <v>1921</v>
      </c>
      <c r="L90" s="3">
        <f>+L75+L80+L87+L89</f>
        <v>458</v>
      </c>
      <c r="M90" s="3">
        <f>+M75+M80+M87+M89</f>
        <v>-1304</v>
      </c>
      <c r="N90" s="3">
        <f>+N75+N80+N87+N89</f>
        <v>-1175</v>
      </c>
      <c r="O90" s="3">
        <f>+O75+O80+O87+O89</f>
        <v>3542</v>
      </c>
    </row>
    <row r="92" spans="2:15" x14ac:dyDescent="0.2">
      <c r="B92" s="11" t="s">
        <v>79</v>
      </c>
      <c r="N92" s="3">
        <f>+SUM(K75:N75)</f>
        <v>7344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Dennis Hesselberth</cp:lastModifiedBy>
  <dcterms:created xsi:type="dcterms:W3CDTF">2024-05-10T17:16:49Z</dcterms:created>
  <dcterms:modified xsi:type="dcterms:W3CDTF">2024-05-10T21:30:46Z</dcterms:modified>
</cp:coreProperties>
</file>