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6AE6BE79-ED86-4F7F-B0EB-29D3E09FCD17}" xr6:coauthVersionLast="47" xr6:coauthVersionMax="47" xr10:uidLastSave="{00000000-0000-0000-0000-000000000000}"/>
  <bookViews>
    <workbookView xWindow="105" yWindow="90" windowWidth="14235" windowHeight="15495" activeTab="1" xr2:uid="{B2803A38-649D-44F3-8200-BA34A8892E9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2" l="1"/>
  <c r="AJ3" i="2"/>
  <c r="L9" i="1"/>
  <c r="AH24" i="2"/>
  <c r="AG24" i="2"/>
  <c r="AI24" i="2"/>
  <c r="L5" i="1"/>
  <c r="L7" i="1"/>
  <c r="L4" i="1"/>
  <c r="AG20" i="2"/>
  <c r="AF20" i="2"/>
  <c r="AE20" i="2"/>
  <c r="AD20" i="2"/>
  <c r="AH20" i="2"/>
  <c r="AI20" i="2"/>
  <c r="AG8" i="2"/>
  <c r="AH8" i="2"/>
  <c r="AI8" i="2"/>
  <c r="AH5" i="2"/>
  <c r="AH7" i="2" s="1"/>
  <c r="AG5" i="2"/>
  <c r="AG7" i="2" s="1"/>
  <c r="AI5" i="2"/>
  <c r="AI7" i="2" s="1"/>
  <c r="AI9" i="2" s="1"/>
  <c r="AI11" i="2" s="1"/>
  <c r="AI12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G9" i="2" l="1"/>
  <c r="AG11" i="2" s="1"/>
  <c r="AG12" i="2" s="1"/>
  <c r="AH9" i="2"/>
  <c r="AH11" i="2" s="1"/>
  <c r="AH12" i="2" s="1"/>
  <c r="AI15" i="2"/>
  <c r="AI16" i="2"/>
  <c r="AI17" i="2"/>
  <c r="AI18" i="2"/>
</calcChain>
</file>

<file path=xl/sharedStrings.xml><?xml version="1.0" encoding="utf-8"?>
<sst xmlns="http://schemas.openxmlformats.org/spreadsheetml/2006/main" count="46" uniqueCount="45">
  <si>
    <t>Price</t>
  </si>
  <si>
    <t>Shares</t>
  </si>
  <si>
    <t>MC</t>
  </si>
  <si>
    <t>Cash</t>
  </si>
  <si>
    <t>Debt</t>
  </si>
  <si>
    <t>EV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</si>
  <si>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</si>
  <si>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</si>
  <si>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</si>
  <si>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</si>
  <si>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</si>
  <si>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</si>
  <si>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</si>
  <si>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</si>
  <si>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</si>
  <si>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</si>
  <si>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</si>
  <si>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</si>
  <si>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</si>
  <si>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</si>
  <si>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</si>
  <si>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</si>
  <si>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</si>
  <si>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</si>
  <si>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</si>
  <si>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</si>
  <si>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</si>
  <si>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</si>
  <si>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COGS</t>
  </si>
  <si>
    <t>Gross profit</t>
  </si>
  <si>
    <t>SG&amp;G</t>
  </si>
  <si>
    <t>OpIn</t>
  </si>
  <si>
    <t>Interest</t>
  </si>
  <si>
    <t>Pretax</t>
  </si>
  <si>
    <t>Taxes</t>
  </si>
  <si>
    <t>Net income</t>
  </si>
  <si>
    <t>EPS</t>
  </si>
  <si>
    <t>Revenue y/y</t>
  </si>
  <si>
    <t>Gross margin</t>
  </si>
  <si>
    <t>Operating margin</t>
  </si>
  <si>
    <t>Tax rate</t>
  </si>
  <si>
    <t>Net margin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</si>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</sst>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0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19050</xdr:colOff>
      <xdr:row>0</xdr:row>
      <xdr:rowOff>38100</xdr:rowOff>
    </xdr:from>
    <xdr:to>
      <xdr:col>35</xdr:col>
      <xdr:colOff>19050</xdr:colOff>
      <xdr:row>66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B68277-91A4-B829-2218-069C47333DC0}"/>
            </a:ext>
          </a:extLst>
        </xdr:cNvPr>
        <xdr:cNvCxnSpPr/>
      </xdr:nvCxnSpPr>
      <xdr:spPr>
        <a:xfrm>
          <a:off x="21174075" y="38100"/>
          <a:ext cx="0" cy="9858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0</xdr:row>
      <xdr:rowOff>9525</xdr:rowOff>
    </xdr:from>
    <xdr:to>
      <xdr:col>18</xdr:col>
      <xdr:colOff>28575</xdr:colOff>
      <xdr:row>65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387339-A4B6-45A6-AD76-45E2526D704D}"/>
            </a:ext>
          </a:extLst>
        </xdr:cNvPr>
        <xdr:cNvCxnSpPr/>
      </xdr:nvCxnSpPr>
      <xdr:spPr>
        <a:xfrm>
          <a:off x="10820400" y="9525"/>
          <a:ext cx="0" cy="9858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0B64-A469-46F0-839C-3FD4F8937772}">
  <dimension ref="K2:L9"/>
  <sheetViews>
    <sheetView workbookViewId="0">
      <selection activeCell="I18" sqref="I18"/>
    </sheetView>
  </sheetViews>
  <sheetFormatPr defaultRowHeight="12.75" x14ac:dyDescent="0.2"/>
  <cols>
    <col min="1" max="1" width="2.42578125" customWidth="1"/>
  </cols>
  <sheetData>
    <row r="2" spans="11:12" x14ac:dyDescent="0.2">
      <c r="K2" t="s">
        <v>0</v>
      </c>
      <c r="L2" s="5">
        <v>90.8</v>
      </c>
    </row>
    <row r="3" spans="11:12" x14ac:dyDescent="0.2">
      <c r="K3" t="s">
        <v>1</v>
      </c>
      <c r="L3" s="1">
        <v>56.056159000000001</v>
      </c>
    </row>
    <row r="4" spans="11:12" x14ac:dyDescent="0.2">
      <c r="K4" t="s">
        <v>2</v>
      </c>
      <c r="L4" s="1">
        <f>+L2*L3</f>
        <v>5089.8992372000002</v>
      </c>
    </row>
    <row r="5" spans="11:12" x14ac:dyDescent="0.2">
      <c r="K5" t="s">
        <v>3</v>
      </c>
      <c r="L5" s="1">
        <f>180.485+3.193</f>
        <v>183.67800000000003</v>
      </c>
    </row>
    <row r="6" spans="11:12" x14ac:dyDescent="0.2">
      <c r="K6" t="s">
        <v>4</v>
      </c>
      <c r="L6" s="1">
        <v>1349.3389999999999</v>
      </c>
    </row>
    <row r="7" spans="11:12" x14ac:dyDescent="0.2">
      <c r="K7" t="s">
        <v>5</v>
      </c>
      <c r="L7" s="1">
        <f>+L4-L5+L6</f>
        <v>6255.5602372000003</v>
      </c>
    </row>
    <row r="8" spans="11:12" x14ac:dyDescent="0.2">
      <c r="L8">
        <v>923</v>
      </c>
    </row>
    <row r="9" spans="11:12" x14ac:dyDescent="0.2">
      <c r="L9" s="7">
        <f>+L7/L8</f>
        <v>6.7774217087757318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A747-5057-4CB7-8317-9BAF372ED5F2}">
  <dimension ref="A1:AS24"/>
  <sheetViews>
    <sheetView tabSelected="1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G39" sqref="AG39"/>
    </sheetView>
  </sheetViews>
  <sheetFormatPr defaultRowHeight="12.75" x14ac:dyDescent="0.2"/>
  <cols>
    <col min="1" max="1" width="5" style="1" bestFit="1" customWidth="1"/>
    <col min="2" max="2" width="15.28515625" style="1" bestFit="1" customWidth="1"/>
    <col min="3" max="16384" width="9.140625" style="1"/>
  </cols>
  <sheetData>
    <row r="1" spans="1:45" x14ac:dyDescent="0.2">
      <c r="A1" s="1" t="s">
        <v>6</v>
      </c>
    </row>
    <row r="2" spans="1:45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Y2" s="4">
        <v>2014</v>
      </c>
      <c r="Z2" s="4">
        <f>+Y2+1</f>
        <v>2015</v>
      </c>
      <c r="AA2" s="4">
        <f t="shared" ref="AA2:AS2" si="0">+Z2+1</f>
        <v>2016</v>
      </c>
      <c r="AB2" s="4">
        <f t="shared" si="0"/>
        <v>2017</v>
      </c>
      <c r="AC2" s="4">
        <f t="shared" si="0"/>
        <v>2018</v>
      </c>
      <c r="AD2" s="4">
        <f t="shared" si="0"/>
        <v>2019</v>
      </c>
      <c r="AE2" s="4">
        <f t="shared" si="0"/>
        <v>2020</v>
      </c>
      <c r="AF2" s="4">
        <f t="shared" si="0"/>
        <v>2021</v>
      </c>
      <c r="AG2" s="4">
        <f t="shared" si="0"/>
        <v>2022</v>
      </c>
      <c r="AH2" s="4">
        <f t="shared" si="0"/>
        <v>2023</v>
      </c>
      <c r="AI2" s="4">
        <f t="shared" si="0"/>
        <v>2024</v>
      </c>
      <c r="AJ2" s="4">
        <f t="shared" si="0"/>
        <v>2025</v>
      </c>
      <c r="AK2" s="4">
        <f t="shared" si="0"/>
        <v>2026</v>
      </c>
      <c r="AL2" s="4">
        <f t="shared" si="0"/>
        <v>2027</v>
      </c>
      <c r="AM2" s="4">
        <f t="shared" si="0"/>
        <v>2028</v>
      </c>
      <c r="AN2" s="4">
        <f t="shared" si="0"/>
        <v>2029</v>
      </c>
      <c r="AO2" s="4">
        <f t="shared" si="0"/>
        <v>2030</v>
      </c>
      <c r="AP2" s="4">
        <f t="shared" si="0"/>
        <v>2031</v>
      </c>
      <c r="AQ2" s="4">
        <f t="shared" si="0"/>
        <v>2032</v>
      </c>
      <c r="AR2" s="4">
        <f t="shared" si="0"/>
        <v>2033</v>
      </c>
      <c r="AS2" s="4">
        <f t="shared" si="0"/>
        <v>2034</v>
      </c>
    </row>
    <row r="3" spans="1:45" s="3" customFormat="1" x14ac:dyDescent="0.2">
      <c r="B3" s="3" t="s">
        <v>7</v>
      </c>
      <c r="AG3" s="3">
        <v>3554.9850000000001</v>
      </c>
      <c r="AH3" s="3">
        <v>3962.3470000000002</v>
      </c>
      <c r="AI3" s="3">
        <v>4102.1080000000002</v>
      </c>
      <c r="AJ3" s="3">
        <f>+AI3*1.025</f>
        <v>4204.6606999999995</v>
      </c>
    </row>
    <row r="4" spans="1:45" x14ac:dyDescent="0.2">
      <c r="B4" s="1" t="s">
        <v>28</v>
      </c>
      <c r="AG4" s="1">
        <v>1694.703</v>
      </c>
      <c r="AH4" s="1">
        <v>1752.337</v>
      </c>
      <c r="AI4" s="1">
        <v>1691.85</v>
      </c>
    </row>
    <row r="5" spans="1:45" x14ac:dyDescent="0.2">
      <c r="B5" s="1" t="s">
        <v>29</v>
      </c>
      <c r="AG5" s="1">
        <f t="shared" ref="AG5:AH5" si="1">+AG3-AG4</f>
        <v>1860.2820000000002</v>
      </c>
      <c r="AH5" s="1">
        <f t="shared" si="1"/>
        <v>2210.0100000000002</v>
      </c>
      <c r="AI5" s="1">
        <f>+AI3-AI4</f>
        <v>2410.2580000000003</v>
      </c>
    </row>
    <row r="6" spans="1:45" x14ac:dyDescent="0.2">
      <c r="B6" s="1" t="s">
        <v>30</v>
      </c>
      <c r="AG6" s="1">
        <v>1009.526</v>
      </c>
      <c r="AH6" s="1">
        <v>1173.2270000000001</v>
      </c>
      <c r="AI6" s="1">
        <v>1388.347</v>
      </c>
    </row>
    <row r="7" spans="1:45" x14ac:dyDescent="0.2">
      <c r="B7" s="1" t="s">
        <v>31</v>
      </c>
      <c r="AG7" s="1">
        <f t="shared" ref="AG7:AH7" si="2">+AG5-AG6</f>
        <v>850.7560000000002</v>
      </c>
      <c r="AH7" s="1">
        <f t="shared" si="2"/>
        <v>1036.7830000000001</v>
      </c>
      <c r="AI7" s="1">
        <f>+AI5-AI6</f>
        <v>1021.9110000000003</v>
      </c>
    </row>
    <row r="8" spans="1:45" x14ac:dyDescent="0.2">
      <c r="B8" s="1" t="s">
        <v>32</v>
      </c>
      <c r="AG8" s="1">
        <f>1.02-136.158</f>
        <v>-135.13799999999998</v>
      </c>
      <c r="AH8" s="1">
        <f>2.406-161.351</f>
        <v>-158.94499999999999</v>
      </c>
      <c r="AI8" s="1">
        <f>3.484-109.264</f>
        <v>-105.78</v>
      </c>
    </row>
    <row r="9" spans="1:45" x14ac:dyDescent="0.2">
      <c r="B9" s="1" t="s">
        <v>33</v>
      </c>
      <c r="AG9" s="1">
        <f>+AG7+AG8</f>
        <v>715.61800000000017</v>
      </c>
      <c r="AH9" s="1">
        <f>+AH7+AH8</f>
        <v>877.83800000000019</v>
      </c>
      <c r="AI9" s="1">
        <f>+AI7+AI8</f>
        <v>916.13100000000031</v>
      </c>
    </row>
    <row r="10" spans="1:45" x14ac:dyDescent="0.2">
      <c r="B10" s="1" t="s">
        <v>34</v>
      </c>
      <c r="AG10" s="1">
        <v>178.34899999999999</v>
      </c>
      <c r="AH10" s="1">
        <v>83.706000000000003</v>
      </c>
      <c r="AI10" s="1">
        <v>39.485999999999997</v>
      </c>
    </row>
    <row r="11" spans="1:45" x14ac:dyDescent="0.2">
      <c r="B11" s="1" t="s">
        <v>35</v>
      </c>
      <c r="AG11" s="1">
        <f t="shared" ref="AG11:AH11" si="3">+AG9-AG10</f>
        <v>537.26900000000023</v>
      </c>
      <c r="AH11" s="1">
        <f t="shared" si="3"/>
        <v>794.13200000000018</v>
      </c>
      <c r="AI11" s="1">
        <f>+AI9-AI10</f>
        <v>876.64500000000032</v>
      </c>
    </row>
    <row r="12" spans="1:45" s="5" customFormat="1" x14ac:dyDescent="0.2">
      <c r="B12" s="5" t="s">
        <v>36</v>
      </c>
      <c r="AG12" s="5">
        <f t="shared" ref="AG12:AH12" si="4">+AG11/AG13</f>
        <v>8.6647905041447633</v>
      </c>
      <c r="AH12" s="5">
        <f t="shared" si="4"/>
        <v>12.818504648760333</v>
      </c>
      <c r="AI12" s="5">
        <f>+AI11/AI13</f>
        <v>14.651774969915769</v>
      </c>
    </row>
    <row r="13" spans="1:45" x14ac:dyDescent="0.2">
      <c r="B13" s="1" t="s">
        <v>1</v>
      </c>
      <c r="AG13" s="1">
        <v>62.006</v>
      </c>
      <c r="AH13" s="1">
        <v>61.951999999999998</v>
      </c>
      <c r="AI13" s="1">
        <v>59.832000000000001</v>
      </c>
    </row>
    <row r="15" spans="1:45" s="8" customFormat="1" x14ac:dyDescent="0.2">
      <c r="B15" s="8" t="s">
        <v>38</v>
      </c>
      <c r="AI15" s="8">
        <f>+AI5/AI3</f>
        <v>0.58756571011782244</v>
      </c>
    </row>
    <row r="16" spans="1:45" s="8" customFormat="1" x14ac:dyDescent="0.2">
      <c r="B16" s="8" t="s">
        <v>39</v>
      </c>
      <c r="AI16" s="8">
        <f>+AI7/AI3</f>
        <v>0.24911850199945984</v>
      </c>
    </row>
    <row r="17" spans="2:36" s="8" customFormat="1" x14ac:dyDescent="0.2">
      <c r="B17" s="8" t="s">
        <v>41</v>
      </c>
      <c r="AI17" s="8">
        <f>+AI11/AI3</f>
        <v>0.21370597751204998</v>
      </c>
    </row>
    <row r="18" spans="2:36" s="8" customFormat="1" x14ac:dyDescent="0.2">
      <c r="B18" s="8" t="s">
        <v>40</v>
      </c>
      <c r="AI18" s="8">
        <f>+AI10/AI9</f>
        <v>4.3100822917246533E-2</v>
      </c>
    </row>
    <row r="20" spans="2:36" s="6" customFormat="1" x14ac:dyDescent="0.2">
      <c r="B20" s="6" t="s">
        <v>37</v>
      </c>
      <c r="AD20" s="6" t="e">
        <f>+AD3/AC3-1</f>
        <v>#DIV/0!</v>
      </c>
      <c r="AE20" s="6" t="e">
        <f>+AE3/AD3-1</f>
        <v>#DIV/0!</v>
      </c>
      <c r="AF20" s="6" t="e">
        <f>+AF3/AE3-1</f>
        <v>#DIV/0!</v>
      </c>
      <c r="AG20" s="6" t="e">
        <f>+AG3/AF3-1</f>
        <v>#DIV/0!</v>
      </c>
      <c r="AH20" s="6">
        <f>+AH3/AG3-1</f>
        <v>0.11458895044564188</v>
      </c>
      <c r="AI20" s="6">
        <f>+AI3/AH3-1</f>
        <v>3.5272276759203525E-2</v>
      </c>
      <c r="AJ20" s="6">
        <f>+AJ3/AI3-1</f>
        <v>2.4999999999999911E-2</v>
      </c>
    </row>
    <row r="22" spans="2:36" x14ac:dyDescent="0.2">
      <c r="B22" s="1" t="s">
        <v>42</v>
      </c>
      <c r="AG22" s="1">
        <v>603.14200000000005</v>
      </c>
      <c r="AH22" s="1">
        <v>930.44399999999996</v>
      </c>
      <c r="AI22" s="1">
        <v>992.48599999999999</v>
      </c>
    </row>
    <row r="23" spans="2:36" x14ac:dyDescent="0.2">
      <c r="B23" s="1" t="s">
        <v>43</v>
      </c>
      <c r="AG23" s="1">
        <v>104.19</v>
      </c>
      <c r="AH23" s="1">
        <v>115.625</v>
      </c>
      <c r="AI23" s="1">
        <v>69.346999999999994</v>
      </c>
    </row>
    <row r="24" spans="2:36" x14ac:dyDescent="0.2">
      <c r="B24" s="1" t="s">
        <v>44</v>
      </c>
      <c r="AG24" s="1">
        <f t="shared" ref="AG24:AH24" si="5">+AG22-AG23</f>
        <v>498.95200000000006</v>
      </c>
      <c r="AH24" s="1">
        <f t="shared" si="5"/>
        <v>814.81899999999996</v>
      </c>
      <c r="AI24" s="1">
        <f>+AI22-AI23</f>
        <v>923.13900000000001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2025-04-15T05:27:30Z</dcterms:created>
  <dcterms:modified xsi:type="dcterms:W3CDTF">2025-04-15T06:01:49Z</dcterms:modified>
</cp:coreProperties>
</file>