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Main\Information Technology\"/>
    </mc:Choice>
  </mc:AlternateContent>
  <xr:revisionPtr revIDLastSave="0" documentId="13_ncr:1_{F195A3EB-0668-442E-B9E0-568027786DB6}" xr6:coauthVersionLast="47" xr6:coauthVersionMax="47" xr10:uidLastSave="{00000000-0000-0000-0000-000000000000}"/>
  <bookViews>
    <workbookView xWindow="-120" yWindow="-120" windowWidth="29040" windowHeight="15840" xr2:uid="{9EB60A8E-8558-45C9-8C0E-E3586BBAA7C6}"/>
  </bookViews>
  <sheets>
    <sheet name="Main" sheetId="1" r:id="rId1"/>
    <sheet name="Model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1" i="2" l="1"/>
  <c r="M79" i="2"/>
  <c r="M78" i="2"/>
  <c r="M77" i="2"/>
  <c r="M76" i="2"/>
  <c r="M75" i="2"/>
  <c r="M74" i="2"/>
  <c r="M73" i="2"/>
  <c r="M72" i="2"/>
  <c r="M71" i="2"/>
  <c r="M69" i="2"/>
  <c r="M68" i="2"/>
  <c r="M67" i="2"/>
  <c r="M66" i="2"/>
  <c r="M65" i="2"/>
  <c r="M63" i="2"/>
  <c r="M62" i="2"/>
  <c r="M61" i="2"/>
  <c r="M60" i="2"/>
  <c r="M59" i="2"/>
  <c r="M58" i="2"/>
  <c r="M57" i="2"/>
  <c r="M56" i="2"/>
  <c r="M55" i="2"/>
  <c r="AC81" i="2"/>
  <c r="AC79" i="2"/>
  <c r="AC77" i="2"/>
  <c r="AC74" i="2"/>
  <c r="AC69" i="2"/>
  <c r="AC65" i="2"/>
  <c r="AC63" i="2"/>
  <c r="AC62" i="2"/>
  <c r="AC55" i="2"/>
  <c r="AC52" i="2"/>
  <c r="AC53" i="2" s="1"/>
  <c r="AC45" i="2"/>
  <c r="AC43" i="2"/>
  <c r="AC41" i="2"/>
  <c r="AC48" i="2" s="1"/>
  <c r="AC50" i="2" s="1"/>
  <c r="AC37" i="2"/>
  <c r="AC33" i="2"/>
  <c r="AC32" i="2"/>
  <c r="AC40" i="2" s="1"/>
  <c r="J81" i="2"/>
  <c r="J79" i="2"/>
  <c r="J77" i="2"/>
  <c r="J69" i="2"/>
  <c r="J65" i="2"/>
  <c r="J63" i="2"/>
  <c r="J62" i="2"/>
  <c r="J55" i="2"/>
  <c r="L78" i="2"/>
  <c r="K78" i="2"/>
  <c r="K76" i="2"/>
  <c r="L76" i="2" s="1"/>
  <c r="K75" i="2"/>
  <c r="L75" i="2" s="1"/>
  <c r="K74" i="2"/>
  <c r="L74" i="2" s="1"/>
  <c r="K73" i="2"/>
  <c r="L73" i="2" s="1"/>
  <c r="K72" i="2"/>
  <c r="K71" i="2"/>
  <c r="K68" i="2"/>
  <c r="L68" i="2" s="1"/>
  <c r="K67" i="2"/>
  <c r="K66" i="2"/>
  <c r="K65" i="2"/>
  <c r="K62" i="2"/>
  <c r="K61" i="2"/>
  <c r="K60" i="2"/>
  <c r="K59" i="2"/>
  <c r="L59" i="2" s="1"/>
  <c r="K58" i="2"/>
  <c r="L58" i="2" s="1"/>
  <c r="K57" i="2"/>
  <c r="L57" i="2" s="1"/>
  <c r="K56" i="2"/>
  <c r="K55" i="2"/>
  <c r="L72" i="2"/>
  <c r="L71" i="2"/>
  <c r="L67" i="2"/>
  <c r="L66" i="2"/>
  <c r="L65" i="2"/>
  <c r="L62" i="2"/>
  <c r="L61" i="2"/>
  <c r="L60" i="2"/>
  <c r="L56" i="2"/>
  <c r="L55" i="2"/>
  <c r="N77" i="2"/>
  <c r="O77" i="2"/>
  <c r="O81" i="2"/>
  <c r="O79" i="2"/>
  <c r="O78" i="2"/>
  <c r="O76" i="2"/>
  <c r="O75" i="2"/>
  <c r="O74" i="2"/>
  <c r="O73" i="2"/>
  <c r="O72" i="2"/>
  <c r="O68" i="2"/>
  <c r="O67" i="2"/>
  <c r="O66" i="2"/>
  <c r="O61" i="2"/>
  <c r="N63" i="2"/>
  <c r="N81" i="2" s="1"/>
  <c r="O62" i="2"/>
  <c r="O60" i="2"/>
  <c r="O59" i="2"/>
  <c r="O58" i="2"/>
  <c r="O63" i="2" s="1"/>
  <c r="O57" i="2"/>
  <c r="O56" i="2"/>
  <c r="N74" i="2"/>
  <c r="N69" i="2"/>
  <c r="N65" i="2"/>
  <c r="O65" i="2" s="1"/>
  <c r="O69" i="2" s="1"/>
  <c r="N62" i="2"/>
  <c r="O31" i="2"/>
  <c r="O45" i="2"/>
  <c r="O43" i="2"/>
  <c r="O41" i="2"/>
  <c r="O48" i="2" s="1"/>
  <c r="O50" i="2" s="1"/>
  <c r="O37" i="2"/>
  <c r="O33" i="2"/>
  <c r="O32" i="2"/>
  <c r="D13" i="1"/>
  <c r="D12" i="1"/>
  <c r="D11" i="1"/>
  <c r="C14" i="1"/>
  <c r="S17" i="2"/>
  <c r="S15" i="2"/>
  <c r="S9" i="2"/>
  <c r="S29" i="2" s="1"/>
  <c r="T17" i="2"/>
  <c r="T15" i="2"/>
  <c r="T9" i="2"/>
  <c r="T29" i="2" s="1"/>
  <c r="U17" i="2"/>
  <c r="U15" i="2"/>
  <c r="U9" i="2"/>
  <c r="V17" i="2"/>
  <c r="V15" i="2"/>
  <c r="V9" i="2"/>
  <c r="W17" i="2"/>
  <c r="W15" i="2"/>
  <c r="W9" i="2"/>
  <c r="X17" i="2"/>
  <c r="X15" i="2"/>
  <c r="X9" i="2"/>
  <c r="X11" i="2" s="1"/>
  <c r="E22" i="2"/>
  <c r="E19" i="2"/>
  <c r="E14" i="2"/>
  <c r="E13" i="2"/>
  <c r="E12" i="2"/>
  <c r="E10" i="2"/>
  <c r="E8" i="2"/>
  <c r="E9" i="2" s="1"/>
  <c r="E7" i="2"/>
  <c r="D17" i="2"/>
  <c r="D15" i="2"/>
  <c r="D9" i="2"/>
  <c r="Y17" i="2"/>
  <c r="Y15" i="2"/>
  <c r="Y9" i="2"/>
  <c r="AA29" i="2"/>
  <c r="AC29" i="2"/>
  <c r="Z17" i="2"/>
  <c r="Z15" i="2"/>
  <c r="Z9" i="2"/>
  <c r="AA17" i="2"/>
  <c r="AA15" i="2"/>
  <c r="AA9" i="2"/>
  <c r="AB29" i="2" s="1"/>
  <c r="B17" i="2"/>
  <c r="B15" i="2"/>
  <c r="B9" i="2"/>
  <c r="F17" i="2"/>
  <c r="F15" i="2"/>
  <c r="F9" i="2"/>
  <c r="C17" i="2"/>
  <c r="C15" i="2"/>
  <c r="C9" i="2"/>
  <c r="G17" i="2"/>
  <c r="G15" i="2"/>
  <c r="G9" i="2"/>
  <c r="G29" i="2" s="1"/>
  <c r="H17" i="2"/>
  <c r="H15" i="2"/>
  <c r="H9" i="2"/>
  <c r="L17" i="2"/>
  <c r="L15" i="2"/>
  <c r="L9" i="2"/>
  <c r="D8" i="1"/>
  <c r="D7" i="1"/>
  <c r="D6" i="1"/>
  <c r="D5" i="1"/>
  <c r="D4" i="1"/>
  <c r="D3" i="1"/>
  <c r="I17" i="2"/>
  <c r="I15" i="2"/>
  <c r="I9" i="2"/>
  <c r="M17" i="2"/>
  <c r="M15" i="2"/>
  <c r="M9" i="2"/>
  <c r="AB17" i="2"/>
  <c r="AB15" i="2"/>
  <c r="AB9" i="2"/>
  <c r="AC17" i="2"/>
  <c r="AC15" i="2"/>
  <c r="AC9" i="2"/>
  <c r="AD29" i="2" s="1"/>
  <c r="J17" i="2"/>
  <c r="J15" i="2"/>
  <c r="J9" i="2"/>
  <c r="J11" i="2" s="1"/>
  <c r="N17" i="2"/>
  <c r="N15" i="2"/>
  <c r="N9" i="2"/>
  <c r="C7" i="1"/>
  <c r="C9" i="1" s="1"/>
  <c r="K17" i="2"/>
  <c r="K15" i="2"/>
  <c r="K9" i="2"/>
  <c r="O17" i="2"/>
  <c r="O15" i="2"/>
  <c r="O9" i="2"/>
  <c r="O11" i="2" s="1"/>
  <c r="O24" i="2" s="1"/>
  <c r="L7" i="1"/>
  <c r="L6" i="1"/>
  <c r="L5" i="1"/>
  <c r="L8" i="1" s="1"/>
  <c r="L10" i="1" s="1"/>
  <c r="AC31" i="2" l="1"/>
  <c r="K77" i="2"/>
  <c r="K69" i="2"/>
  <c r="K63" i="2"/>
  <c r="K81" i="2" s="1"/>
  <c r="L77" i="2"/>
  <c r="L69" i="2"/>
  <c r="L63" i="2"/>
  <c r="L81" i="2" s="1"/>
  <c r="O40" i="2"/>
  <c r="N79" i="2"/>
  <c r="E11" i="2"/>
  <c r="E24" i="2" s="1"/>
  <c r="E15" i="2"/>
  <c r="I29" i="2"/>
  <c r="H29" i="2"/>
  <c r="Z29" i="2"/>
  <c r="E17" i="2"/>
  <c r="I11" i="2"/>
  <c r="S11" i="2"/>
  <c r="S24" i="2" s="1"/>
  <c r="T11" i="2"/>
  <c r="U29" i="2"/>
  <c r="U11" i="2"/>
  <c r="V29" i="2"/>
  <c r="V11" i="2"/>
  <c r="V24" i="2" s="1"/>
  <c r="W29" i="2"/>
  <c r="W11" i="2"/>
  <c r="X24" i="2"/>
  <c r="X16" i="2"/>
  <c r="X29" i="2"/>
  <c r="D11" i="2"/>
  <c r="Y11" i="2"/>
  <c r="Y29" i="2"/>
  <c r="Z11" i="2"/>
  <c r="AA11" i="2"/>
  <c r="AA24" i="2" s="1"/>
  <c r="B11" i="2"/>
  <c r="B24" i="2" s="1"/>
  <c r="F29" i="2"/>
  <c r="F11" i="2"/>
  <c r="C11" i="2"/>
  <c r="C16" i="2" s="1"/>
  <c r="C25" i="2" s="1"/>
  <c r="C24" i="2"/>
  <c r="G11" i="2"/>
  <c r="K29" i="2"/>
  <c r="H11" i="2"/>
  <c r="H24" i="2" s="1"/>
  <c r="L29" i="2"/>
  <c r="L11" i="2"/>
  <c r="L24" i="2" s="1"/>
  <c r="I24" i="2"/>
  <c r="M29" i="2"/>
  <c r="M11" i="2"/>
  <c r="M16" i="2" s="1"/>
  <c r="M25" i="2" s="1"/>
  <c r="AB11" i="2"/>
  <c r="AC11" i="2"/>
  <c r="AC16" i="2" s="1"/>
  <c r="AC25" i="2" s="1"/>
  <c r="J29" i="2"/>
  <c r="J24" i="2"/>
  <c r="J16" i="2"/>
  <c r="N29" i="2"/>
  <c r="N11" i="2"/>
  <c r="N24" i="2" s="1"/>
  <c r="K11" i="2"/>
  <c r="K16" i="2" s="1"/>
  <c r="K25" i="2" s="1"/>
  <c r="O16" i="2"/>
  <c r="O29" i="2"/>
  <c r="K79" i="2" l="1"/>
  <c r="L79" i="2"/>
  <c r="E16" i="2"/>
  <c r="E18" i="2" s="1"/>
  <c r="S16" i="2"/>
  <c r="S18" i="2" s="1"/>
  <c r="T24" i="2"/>
  <c r="T16" i="2"/>
  <c r="U24" i="2"/>
  <c r="U16" i="2"/>
  <c r="V16" i="2"/>
  <c r="V25" i="2" s="1"/>
  <c r="W16" i="2"/>
  <c r="W24" i="2"/>
  <c r="X25" i="2"/>
  <c r="X18" i="2"/>
  <c r="D16" i="2"/>
  <c r="D24" i="2"/>
  <c r="Y16" i="2"/>
  <c r="Y24" i="2"/>
  <c r="Z24" i="2"/>
  <c r="Z16" i="2"/>
  <c r="AA16" i="2"/>
  <c r="AA18" i="2" s="1"/>
  <c r="B16" i="2"/>
  <c r="B25" i="2" s="1"/>
  <c r="F24" i="2"/>
  <c r="F16" i="2"/>
  <c r="C18" i="2"/>
  <c r="C27" i="2" s="1"/>
  <c r="G24" i="2"/>
  <c r="G16" i="2"/>
  <c r="H16" i="2"/>
  <c r="H25" i="2" s="1"/>
  <c r="L16" i="2"/>
  <c r="L25" i="2" s="1"/>
  <c r="I16" i="2"/>
  <c r="I25" i="2" s="1"/>
  <c r="M18" i="2"/>
  <c r="M27" i="2" s="1"/>
  <c r="M24" i="2"/>
  <c r="AB24" i="2"/>
  <c r="AB16" i="2"/>
  <c r="AC24" i="2"/>
  <c r="AC18" i="2"/>
  <c r="AC20" i="2" s="1"/>
  <c r="J25" i="2"/>
  <c r="J18" i="2"/>
  <c r="N16" i="2"/>
  <c r="N18" i="2" s="1"/>
  <c r="N25" i="2"/>
  <c r="O18" i="2"/>
  <c r="O25" i="2"/>
  <c r="K18" i="2"/>
  <c r="K20" i="2" s="1"/>
  <c r="K24" i="2"/>
  <c r="AC27" i="2" l="1"/>
  <c r="M20" i="2"/>
  <c r="E25" i="2"/>
  <c r="E20" i="2"/>
  <c r="E27" i="2"/>
  <c r="S25" i="2"/>
  <c r="S27" i="2"/>
  <c r="S20" i="2"/>
  <c r="T25" i="2"/>
  <c r="T18" i="2"/>
  <c r="U25" i="2"/>
  <c r="U18" i="2"/>
  <c r="V18" i="2"/>
  <c r="V27" i="2" s="1"/>
  <c r="W25" i="2"/>
  <c r="W18" i="2"/>
  <c r="X27" i="2"/>
  <c r="X20" i="2"/>
  <c r="D25" i="2"/>
  <c r="D18" i="2"/>
  <c r="Y25" i="2"/>
  <c r="Y18" i="2"/>
  <c r="Z18" i="2"/>
  <c r="Z25" i="2"/>
  <c r="AA25" i="2"/>
  <c r="AA27" i="2"/>
  <c r="AA20" i="2"/>
  <c r="B18" i="2"/>
  <c r="B20" i="2" s="1"/>
  <c r="F25" i="2"/>
  <c r="F18" i="2"/>
  <c r="C20" i="2"/>
  <c r="C21" i="2" s="1"/>
  <c r="G18" i="2"/>
  <c r="G25" i="2"/>
  <c r="H18" i="2"/>
  <c r="H27" i="2" s="1"/>
  <c r="L18" i="2"/>
  <c r="L20" i="2" s="1"/>
  <c r="I18" i="2"/>
  <c r="I27" i="2" s="1"/>
  <c r="M26" i="2"/>
  <c r="M21" i="2"/>
  <c r="AB25" i="2"/>
  <c r="AB18" i="2"/>
  <c r="AC26" i="2"/>
  <c r="AC21" i="2"/>
  <c r="J27" i="2"/>
  <c r="J20" i="2"/>
  <c r="N27" i="2"/>
  <c r="N20" i="2"/>
  <c r="N55" i="2" s="1"/>
  <c r="K27" i="2"/>
  <c r="O27" i="2"/>
  <c r="O20" i="2"/>
  <c r="O55" i="2" s="1"/>
  <c r="K26" i="2"/>
  <c r="K21" i="2"/>
  <c r="O52" i="2" l="1"/>
  <c r="O53" i="2" s="1"/>
  <c r="V20" i="2"/>
  <c r="E21" i="2"/>
  <c r="E26" i="2"/>
  <c r="S26" i="2"/>
  <c r="S21" i="2"/>
  <c r="T27" i="2"/>
  <c r="T20" i="2"/>
  <c r="U27" i="2"/>
  <c r="U20" i="2"/>
  <c r="V26" i="2"/>
  <c r="V21" i="2"/>
  <c r="W27" i="2"/>
  <c r="W20" i="2"/>
  <c r="X26" i="2"/>
  <c r="X21" i="2"/>
  <c r="D27" i="2"/>
  <c r="D20" i="2"/>
  <c r="Y27" i="2"/>
  <c r="Y20" i="2"/>
  <c r="Z27" i="2"/>
  <c r="Z20" i="2"/>
  <c r="AA21" i="2"/>
  <c r="AA26" i="2"/>
  <c r="B27" i="2"/>
  <c r="B26" i="2"/>
  <c r="B21" i="2"/>
  <c r="F27" i="2"/>
  <c r="F20" i="2"/>
  <c r="C26" i="2"/>
  <c r="G27" i="2"/>
  <c r="G20" i="2"/>
  <c r="H20" i="2"/>
  <c r="H26" i="2" s="1"/>
  <c r="L27" i="2"/>
  <c r="L26" i="2"/>
  <c r="L21" i="2"/>
  <c r="I20" i="2"/>
  <c r="I21" i="2" s="1"/>
  <c r="AB27" i="2"/>
  <c r="AB20" i="2"/>
  <c r="J21" i="2"/>
  <c r="J26" i="2"/>
  <c r="N21" i="2"/>
  <c r="N26" i="2"/>
  <c r="O26" i="2"/>
  <c r="O21" i="2"/>
  <c r="T26" i="2" l="1"/>
  <c r="T21" i="2"/>
  <c r="U26" i="2"/>
  <c r="U21" i="2"/>
  <c r="W26" i="2"/>
  <c r="W21" i="2"/>
  <c r="D21" i="2"/>
  <c r="D26" i="2"/>
  <c r="Y26" i="2"/>
  <c r="Y21" i="2"/>
  <c r="Z26" i="2"/>
  <c r="Z21" i="2"/>
  <c r="F26" i="2"/>
  <c r="F21" i="2"/>
  <c r="G21" i="2"/>
  <c r="G26" i="2"/>
  <c r="H21" i="2"/>
  <c r="I26" i="2"/>
  <c r="AB26" i="2"/>
  <c r="AB2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Fidel</author>
  </authors>
  <commentList>
    <comment ref="P9" authorId="0" shapeId="0" xr:uid="{BD18FF67-1054-4A29-82F1-DC3215DC3AF1}">
      <text>
        <r>
          <rPr>
            <b/>
            <sz val="9"/>
            <color indexed="81"/>
            <rFont val="Tahoma"/>
            <charset val="1"/>
          </rPr>
          <t>Fidel:</t>
        </r>
        <r>
          <rPr>
            <sz val="9"/>
            <color indexed="81"/>
            <rFont val="Tahoma"/>
            <charset val="1"/>
          </rPr>
          <t xml:space="preserve">
Guidance:
$13.9 billion to $14.1 billion</t>
        </r>
      </text>
    </comment>
    <comment ref="AD9" authorId="0" shapeId="0" xr:uid="{8096C28F-71A3-4D6A-9FF1-3FBBEFEF83C1}">
      <text>
        <r>
          <rPr>
            <b/>
            <sz val="9"/>
            <color indexed="81"/>
            <rFont val="Tahoma"/>
            <charset val="1"/>
          </rPr>
          <t>Fidel:</t>
        </r>
        <r>
          <rPr>
            <sz val="9"/>
            <color indexed="81"/>
            <rFont val="Tahoma"/>
            <charset val="1"/>
          </rPr>
          <t xml:space="preserve">
Guidance:
$56.0 billion to $56.5 billion</t>
        </r>
      </text>
    </comment>
  </commentList>
</comments>
</file>

<file path=xl/sharedStrings.xml><?xml version="1.0" encoding="utf-8"?>
<sst xmlns="http://schemas.openxmlformats.org/spreadsheetml/2006/main" count="126" uniqueCount="111">
  <si>
    <t>Revenue</t>
  </si>
  <si>
    <t>COGS</t>
  </si>
  <si>
    <t>Gross profit</t>
  </si>
  <si>
    <t>R&amp;D</t>
  </si>
  <si>
    <t>Operating expense</t>
  </si>
  <si>
    <t>Operating income</t>
  </si>
  <si>
    <t>Interest income</t>
  </si>
  <si>
    <t>Pretax</t>
  </si>
  <si>
    <t>Taxes</t>
  </si>
  <si>
    <t>Net income</t>
  </si>
  <si>
    <t>EPS</t>
  </si>
  <si>
    <t>Shares</t>
  </si>
  <si>
    <t>Gross margin</t>
  </si>
  <si>
    <t>Operating margin</t>
  </si>
  <si>
    <t>Net margin</t>
  </si>
  <si>
    <t>Tax rate</t>
  </si>
  <si>
    <t>Revenue y/y</t>
  </si>
  <si>
    <t>Price</t>
  </si>
  <si>
    <t>MC</t>
  </si>
  <si>
    <t>Cash</t>
  </si>
  <si>
    <t>Debt</t>
  </si>
  <si>
    <t>EV</t>
  </si>
  <si>
    <t>Product</t>
  </si>
  <si>
    <t>Services</t>
  </si>
  <si>
    <t>FQ225</t>
  </si>
  <si>
    <t>FQ125</t>
  </si>
  <si>
    <t>FQ424</t>
  </si>
  <si>
    <t>FQ324</t>
  </si>
  <si>
    <t>FQ224</t>
  </si>
  <si>
    <t>FQ124</t>
  </si>
  <si>
    <t>FQ423</t>
  </si>
  <si>
    <t>FQ323</t>
  </si>
  <si>
    <t>FQ223</t>
  </si>
  <si>
    <t>FQ123</t>
  </si>
  <si>
    <t>FQ422</t>
  </si>
  <si>
    <t>FQ322</t>
  </si>
  <si>
    <t>FQ222</t>
  </si>
  <si>
    <t>FQ122</t>
  </si>
  <si>
    <t>G&amp;A</t>
  </si>
  <si>
    <t>S&amp;M</t>
  </si>
  <si>
    <t>Networking</t>
  </si>
  <si>
    <t>Security</t>
  </si>
  <si>
    <t>Collaboration</t>
  </si>
  <si>
    <t>Observabilty</t>
  </si>
  <si>
    <t>Total Product</t>
  </si>
  <si>
    <t>Total</t>
  </si>
  <si>
    <t>Americas</t>
  </si>
  <si>
    <t>EMEA</t>
  </si>
  <si>
    <t>APJC</t>
  </si>
  <si>
    <t>margin</t>
  </si>
  <si>
    <t>FY14</t>
  </si>
  <si>
    <t>FY15</t>
  </si>
  <si>
    <t>FY16</t>
  </si>
  <si>
    <t>FY17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</si>
  <si>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</si>
  <si>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</si>
  <si>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</si>
  <si>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</si>
  <si>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</si>
  <si>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</si>
  <si>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</si>
  <si>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</si>
  <si>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</si>
  <si>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</si>
  <si>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</si>
  <si>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</si>
  <si>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</si>
  <si>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</si>
  <si>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</si>
  <si>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</si>
  <si>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FY34</t>
  </si>
  <si>
    <t>Net cash</t>
  </si>
  <si>
    <t>AR</t>
  </si>
  <si>
    <t>Inventories</t>
  </si>
  <si>
    <t>Other</t>
  </si>
  <si>
    <t>PP&amp;E</t>
  </si>
  <si>
    <t>Goodwill</t>
  </si>
  <si>
    <t>DT</t>
  </si>
  <si>
    <t>ONCA</t>
  </si>
  <si>
    <t>OCA</t>
  </si>
  <si>
    <t>Assets</t>
  </si>
  <si>
    <t>Accrued compensation</t>
  </si>
  <si>
    <t>DR</t>
  </si>
  <si>
    <t>OCL</t>
  </si>
  <si>
    <t>ONCL</t>
  </si>
  <si>
    <t>Liabilties</t>
  </si>
  <si>
    <t>S/E</t>
  </si>
  <si>
    <t>L+S/E</t>
  </si>
  <si>
    <t>AP</t>
  </si>
  <si>
    <t>NI TTM</t>
  </si>
  <si>
    <t>ROTA</t>
  </si>
  <si>
    <t>Model NI</t>
  </si>
  <si>
    <t>Reported NI</t>
  </si>
  <si>
    <t>D&amp;A</t>
  </si>
  <si>
    <t>SBC</t>
  </si>
  <si>
    <t>Provision</t>
  </si>
  <si>
    <t>Investments</t>
  </si>
  <si>
    <t>WC</t>
  </si>
  <si>
    <t>CFFO</t>
  </si>
  <si>
    <t>Disposals</t>
  </si>
  <si>
    <t>Acquisitions</t>
  </si>
  <si>
    <t>CapEx</t>
  </si>
  <si>
    <t>CFFI</t>
  </si>
  <si>
    <t>Buybacks</t>
  </si>
  <si>
    <t>ESOP</t>
  </si>
  <si>
    <t>Dividends</t>
  </si>
  <si>
    <t>CFFF</t>
  </si>
  <si>
    <t>FX</t>
  </si>
  <si>
    <t>CIC</t>
  </si>
  <si>
    <t>FCF</t>
  </si>
  <si>
    <t>Issuance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</si>
</sst>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0\x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4" fontId="0" fillId="0" borderId="0" xfId="0" applyNumberFormat="1"/>
    <xf numFmtId="164" fontId="0" fillId="0" borderId="0" xfId="0" applyNumberFormat="1"/>
    <xf numFmtId="3" fontId="1" fillId="0" borderId="0" xfId="0" applyNumberFormat="1" applyFont="1"/>
    <xf numFmtId="3" fontId="0" fillId="0" borderId="0" xfId="0" applyNumberFormat="1" applyAlignment="1">
      <alignment horizontal="left"/>
    </xf>
    <xf numFmtId="9" fontId="1" fillId="0" borderId="0" xfId="0" applyNumberFormat="1" applyFont="1"/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0</xdr:row>
      <xdr:rowOff>19050</xdr:rowOff>
    </xdr:from>
    <xdr:to>
      <xdr:col>15</xdr:col>
      <xdr:colOff>28575</xdr:colOff>
      <xdr:row>90</xdr:row>
      <xdr:rowOff>95250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73FD30E-5396-83B5-B46B-9340C3244846}"/>
            </a:ext>
          </a:extLst>
        </xdr:cNvPr>
        <xdr:cNvCxnSpPr/>
      </xdr:nvCxnSpPr>
      <xdr:spPr>
        <a:xfrm>
          <a:off x="9677400" y="19050"/>
          <a:ext cx="0" cy="14487525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38100</xdr:colOff>
      <xdr:row>0</xdr:row>
      <xdr:rowOff>0</xdr:rowOff>
    </xdr:from>
    <xdr:to>
      <xdr:col>29</xdr:col>
      <xdr:colOff>38100</xdr:colOff>
      <xdr:row>85</xdr:row>
      <xdr:rowOff>133350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543DE25-B0E5-4712-AD26-9983FB9B8610}"/>
            </a:ext>
          </a:extLst>
        </xdr:cNvPr>
        <xdr:cNvCxnSpPr/>
      </xdr:nvCxnSpPr>
      <xdr:spPr>
        <a:xfrm>
          <a:off x="18221325" y="0"/>
          <a:ext cx="0" cy="13896975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9935-D53C-42E9-8E20-03B2FDF9624A}">
  <dimension ref="B2:M14"/>
  <sheetViews>
    <sheetView tabSelected="1" workbookViewId="0">
      <selection activeCell="K22" sqref="K22"/>
    </sheetView>
  </sheetViews>
  <sheetFormatPr defaultRowHeight="12.75" x14ac:dyDescent="0.2"/>
  <cols>
    <col min="1" max="1" width="5" customWidth="1"/>
    <col min="2" max="2" width="13.85546875" bestFit="1" customWidth="1"/>
  </cols>
  <sheetData>
    <row r="2" spans="2:13" x14ac:dyDescent="0.2">
      <c r="C2" s="10">
        <v>2024</v>
      </c>
      <c r="D2" s="11" t="s">
        <v>49</v>
      </c>
    </row>
    <row r="3" spans="2:13" x14ac:dyDescent="0.2">
      <c r="B3" t="s">
        <v>40</v>
      </c>
      <c r="C3" s="1">
        <v>29229</v>
      </c>
      <c r="D3" s="3">
        <f>+C3/$C$9</f>
        <v>0.54324957252248907</v>
      </c>
      <c r="K3" t="s">
        <v>17</v>
      </c>
      <c r="L3" s="4">
        <v>55</v>
      </c>
    </row>
    <row r="4" spans="2:13" x14ac:dyDescent="0.2">
      <c r="B4" t="s">
        <v>41</v>
      </c>
      <c r="C4" s="1">
        <v>5075</v>
      </c>
      <c r="D4" s="3">
        <f t="shared" ref="D4:D8" si="0">+C4/$C$9</f>
        <v>9.4323842093524651E-2</v>
      </c>
      <c r="K4" t="s">
        <v>11</v>
      </c>
      <c r="L4" s="1">
        <v>3978.2924320000002</v>
      </c>
      <c r="M4" s="11" t="s">
        <v>24</v>
      </c>
    </row>
    <row r="5" spans="2:13" x14ac:dyDescent="0.2">
      <c r="B5" t="s">
        <v>42</v>
      </c>
      <c r="C5" s="1">
        <v>4113</v>
      </c>
      <c r="D5" s="3">
        <f t="shared" si="0"/>
        <v>7.6444130547914657E-2</v>
      </c>
      <c r="K5" t="s">
        <v>18</v>
      </c>
      <c r="L5" s="1">
        <f>+L3*L4</f>
        <v>218806.08376000001</v>
      </c>
      <c r="M5" s="11"/>
    </row>
    <row r="6" spans="2:13" x14ac:dyDescent="0.2">
      <c r="B6" t="s">
        <v>43</v>
      </c>
      <c r="C6" s="1">
        <v>837</v>
      </c>
      <c r="D6" s="3">
        <f t="shared" si="0"/>
        <v>1.5556464203404952E-2</v>
      </c>
      <c r="K6" t="s">
        <v>19</v>
      </c>
      <c r="L6" s="1">
        <f>8556+8297</f>
        <v>16853</v>
      </c>
      <c r="M6" s="11" t="s">
        <v>24</v>
      </c>
    </row>
    <row r="7" spans="2:13" x14ac:dyDescent="0.2">
      <c r="B7" s="9" t="s">
        <v>44</v>
      </c>
      <c r="C7" s="1">
        <f>+SUM(C3:C6)</f>
        <v>39254</v>
      </c>
      <c r="D7" s="3">
        <f t="shared" si="0"/>
        <v>0.7295740093673333</v>
      </c>
      <c r="K7" t="s">
        <v>20</v>
      </c>
      <c r="L7" s="1">
        <f>11413+19625</f>
        <v>31038</v>
      </c>
      <c r="M7" s="11" t="s">
        <v>24</v>
      </c>
    </row>
    <row r="8" spans="2:13" x14ac:dyDescent="0.2">
      <c r="B8" t="s">
        <v>23</v>
      </c>
      <c r="C8" s="1">
        <v>14550</v>
      </c>
      <c r="D8" s="3">
        <f t="shared" si="0"/>
        <v>0.2704259906326667</v>
      </c>
      <c r="K8" t="s">
        <v>21</v>
      </c>
      <c r="L8" s="1">
        <f>+L5-L6+L7</f>
        <v>232991.08376000001</v>
      </c>
    </row>
    <row r="9" spans="2:13" x14ac:dyDescent="0.2">
      <c r="B9" s="9" t="s">
        <v>45</v>
      </c>
      <c r="C9" s="1">
        <f>+SUM(C7:C8)</f>
        <v>53804</v>
      </c>
      <c r="D9" s="3"/>
      <c r="L9" s="1">
        <v>12704</v>
      </c>
    </row>
    <row r="10" spans="2:13" x14ac:dyDescent="0.2">
      <c r="L10" s="12">
        <f>+L8/L9</f>
        <v>18.339978255667507</v>
      </c>
    </row>
    <row r="11" spans="2:13" x14ac:dyDescent="0.2">
      <c r="B11" t="s">
        <v>46</v>
      </c>
      <c r="C11" s="1">
        <v>31971</v>
      </c>
      <c r="D11" s="3">
        <f>+C11/$C$14</f>
        <v>0.59421232622109876</v>
      </c>
    </row>
    <row r="12" spans="2:13" x14ac:dyDescent="0.2">
      <c r="B12" s="1" t="s">
        <v>47</v>
      </c>
      <c r="C12" s="1">
        <v>14117</v>
      </c>
      <c r="D12" s="3">
        <f t="shared" ref="D12:D13" si="1">+C12/$C$14</f>
        <v>0.26237826183926843</v>
      </c>
    </row>
    <row r="13" spans="2:13" x14ac:dyDescent="0.2">
      <c r="B13" s="1" t="s">
        <v>48</v>
      </c>
      <c r="C13" s="1">
        <v>7716</v>
      </c>
      <c r="D13" s="3">
        <f t="shared" si="1"/>
        <v>0.14340941193963275</v>
      </c>
    </row>
    <row r="14" spans="2:13" x14ac:dyDescent="0.2">
      <c r="B14" s="9" t="s">
        <v>45</v>
      </c>
      <c r="C14" s="1">
        <f>+SUM(C11:C13)</f>
        <v>53804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E923-D5B0-4A5C-9D60-05A87F981F05}">
  <dimension ref="A1:AM81"/>
  <sheetViews>
    <sheetView workbookViewId="0">
      <pane xSplit="1" ySplit="2" topLeftCell="G37" activePane="bottomRight" state="frozen"/>
      <selection pane="topRight" activeCell="B1" sqref="B1"/>
      <selection pane="bottomLeft" activeCell="A3" sqref="A3"/>
      <selection pane="bottomRight" activeCell="I49" sqref="I49"/>
    </sheetView>
  </sheetViews>
  <sheetFormatPr defaultRowHeight="12.75" x14ac:dyDescent="0.2"/>
  <cols>
    <col min="1" max="1" width="16.7109375" style="1" bestFit="1" customWidth="1"/>
    <col min="2" max="16384" width="9.140625" style="1"/>
  </cols>
  <sheetData>
    <row r="1" spans="1:39" s="5" customFormat="1" x14ac:dyDescent="0.2">
      <c r="B1" s="5">
        <v>44499</v>
      </c>
      <c r="C1" s="5">
        <v>44590</v>
      </c>
      <c r="D1" s="5">
        <v>44681</v>
      </c>
      <c r="E1" s="5">
        <v>44772</v>
      </c>
      <c r="F1" s="5">
        <v>44863</v>
      </c>
      <c r="G1" s="5">
        <v>44954</v>
      </c>
      <c r="H1" s="5">
        <v>45045</v>
      </c>
      <c r="I1" s="5">
        <v>45136</v>
      </c>
      <c r="J1" s="5">
        <v>45227</v>
      </c>
      <c r="K1" s="5">
        <v>45318</v>
      </c>
      <c r="L1" s="5">
        <v>45409</v>
      </c>
      <c r="M1" s="5">
        <v>45500</v>
      </c>
      <c r="N1" s="5">
        <v>45591</v>
      </c>
      <c r="O1" s="5">
        <v>45682</v>
      </c>
    </row>
    <row r="2" spans="1:39" x14ac:dyDescent="0.2">
      <c r="A2" s="2"/>
      <c r="B2" s="2" t="s">
        <v>37</v>
      </c>
      <c r="C2" s="2" t="s">
        <v>36</v>
      </c>
      <c r="D2" s="2" t="s">
        <v>35</v>
      </c>
      <c r="E2" s="2" t="s">
        <v>34</v>
      </c>
      <c r="F2" s="2" t="s">
        <v>33</v>
      </c>
      <c r="G2" s="2" t="s">
        <v>32</v>
      </c>
      <c r="H2" s="2" t="s">
        <v>31</v>
      </c>
      <c r="I2" s="2" t="s">
        <v>30</v>
      </c>
      <c r="J2" s="2" t="s">
        <v>29</v>
      </c>
      <c r="K2" s="2" t="s">
        <v>28</v>
      </c>
      <c r="L2" s="2" t="s">
        <v>27</v>
      </c>
      <c r="M2" s="2" t="s">
        <v>26</v>
      </c>
      <c r="N2" s="2" t="s">
        <v>25</v>
      </c>
      <c r="O2" s="2" t="s">
        <v>24</v>
      </c>
      <c r="S2" s="11" t="s">
        <v>50</v>
      </c>
      <c r="T2" s="11" t="s">
        <v>51</v>
      </c>
      <c r="U2" s="11" t="s">
        <v>52</v>
      </c>
      <c r="V2" s="11" t="s">
        <v>53</v>
      </c>
      <c r="W2" s="11" t="s">
        <v>54</v>
      </c>
      <c r="X2" s="11" t="s">
        <v>55</v>
      </c>
      <c r="Y2" s="11" t="s">
        <v>56</v>
      </c>
      <c r="Z2" s="11" t="s">
        <v>57</v>
      </c>
      <c r="AA2" s="11" t="s">
        <v>58</v>
      </c>
      <c r="AB2" s="11" t="s">
        <v>59</v>
      </c>
      <c r="AC2" s="11" t="s">
        <v>60</v>
      </c>
      <c r="AD2" s="11" t="s">
        <v>61</v>
      </c>
      <c r="AE2" s="11" t="s">
        <v>62</v>
      </c>
      <c r="AF2" s="11" t="s">
        <v>63</v>
      </c>
      <c r="AG2" s="11" t="s">
        <v>64</v>
      </c>
      <c r="AH2" s="11" t="s">
        <v>65</v>
      </c>
      <c r="AI2" s="11" t="s">
        <v>66</v>
      </c>
      <c r="AJ2" s="11" t="s">
        <v>67</v>
      </c>
      <c r="AK2" s="11" t="s">
        <v>68</v>
      </c>
      <c r="AL2" s="11" t="s">
        <v>69</v>
      </c>
      <c r="AM2" s="11" t="s">
        <v>70</v>
      </c>
    </row>
    <row r="3" spans="1:39" x14ac:dyDescent="0.2">
      <c r="A3" s="7" t="s">
        <v>46</v>
      </c>
      <c r="B3" s="2"/>
      <c r="C3" s="2"/>
      <c r="D3" s="2"/>
      <c r="E3" s="2"/>
      <c r="F3" s="2"/>
      <c r="G3" s="2"/>
      <c r="H3" s="2"/>
      <c r="I3" s="2"/>
      <c r="J3" s="2"/>
      <c r="K3" s="2"/>
      <c r="L3" s="2">
        <v>7372</v>
      </c>
      <c r="M3" s="2">
        <v>8068</v>
      </c>
      <c r="N3" s="2">
        <v>8252</v>
      </c>
      <c r="O3" s="2">
        <v>8202</v>
      </c>
      <c r="AC3" s="1">
        <v>31971</v>
      </c>
    </row>
    <row r="4" spans="1:39" x14ac:dyDescent="0.2">
      <c r="A4" s="7" t="s">
        <v>47</v>
      </c>
      <c r="B4" s="2"/>
      <c r="C4" s="2"/>
      <c r="D4" s="2"/>
      <c r="E4" s="2"/>
      <c r="F4" s="2"/>
      <c r="G4" s="2"/>
      <c r="H4" s="2"/>
      <c r="I4" s="2"/>
      <c r="J4" s="2"/>
      <c r="K4" s="2"/>
      <c r="L4" s="2">
        <v>3458</v>
      </c>
      <c r="M4" s="2">
        <v>3511</v>
      </c>
      <c r="N4" s="2">
        <v>3588</v>
      </c>
      <c r="O4" s="2">
        <v>3855</v>
      </c>
      <c r="AC4" s="1">
        <v>14117</v>
      </c>
    </row>
    <row r="5" spans="1:39" x14ac:dyDescent="0.2">
      <c r="A5" s="7" t="s">
        <v>48</v>
      </c>
      <c r="B5" s="2"/>
      <c r="C5" s="2"/>
      <c r="D5" s="2"/>
      <c r="E5" s="2"/>
      <c r="F5" s="2"/>
      <c r="G5" s="2"/>
      <c r="H5" s="2"/>
      <c r="I5" s="2"/>
      <c r="J5" s="2"/>
      <c r="K5" s="2"/>
      <c r="L5" s="2">
        <v>1873</v>
      </c>
      <c r="M5" s="2">
        <v>2064</v>
      </c>
      <c r="N5" s="2">
        <v>2001</v>
      </c>
      <c r="O5" s="2">
        <v>1934</v>
      </c>
      <c r="AC5" s="1">
        <v>7716</v>
      </c>
    </row>
    <row r="6" spans="1:3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39" x14ac:dyDescent="0.2">
      <c r="A7" s="7" t="s">
        <v>22</v>
      </c>
      <c r="B7" s="2">
        <v>9529</v>
      </c>
      <c r="C7" s="2">
        <v>9353</v>
      </c>
      <c r="D7" s="2">
        <v>9448</v>
      </c>
      <c r="E7" s="2">
        <f>+AA7-SUM(B7:D7)</f>
        <v>9688</v>
      </c>
      <c r="F7" s="2">
        <v>10245</v>
      </c>
      <c r="G7" s="2">
        <v>10155</v>
      </c>
      <c r="H7" s="2">
        <v>11092</v>
      </c>
      <c r="I7" s="2">
        <v>11650</v>
      </c>
      <c r="J7" s="2">
        <v>11139</v>
      </c>
      <c r="K7" s="2">
        <v>9232</v>
      </c>
      <c r="L7" s="2">
        <v>9024</v>
      </c>
      <c r="M7" s="2">
        <v>9858</v>
      </c>
      <c r="N7" s="2">
        <v>10114</v>
      </c>
      <c r="O7" s="2">
        <v>10234</v>
      </c>
      <c r="S7" s="2">
        <v>36172</v>
      </c>
      <c r="T7" s="2">
        <v>37750</v>
      </c>
      <c r="U7" s="2">
        <v>37254</v>
      </c>
      <c r="V7" s="2">
        <v>35705</v>
      </c>
      <c r="W7" s="2">
        <v>36709</v>
      </c>
      <c r="X7" s="2">
        <v>39005</v>
      </c>
      <c r="Y7" s="2">
        <v>35978</v>
      </c>
      <c r="Z7" s="2">
        <v>36014</v>
      </c>
      <c r="AA7" s="2">
        <v>38018</v>
      </c>
      <c r="AB7" s="2">
        <v>43142</v>
      </c>
      <c r="AC7" s="2">
        <v>39253</v>
      </c>
      <c r="AD7"/>
      <c r="AE7"/>
      <c r="AF7"/>
      <c r="AG7"/>
      <c r="AH7"/>
      <c r="AI7"/>
      <c r="AJ7"/>
      <c r="AK7"/>
      <c r="AL7"/>
      <c r="AM7"/>
    </row>
    <row r="8" spans="1:39" x14ac:dyDescent="0.2">
      <c r="A8" s="7" t="s">
        <v>23</v>
      </c>
      <c r="B8" s="2">
        <v>3371</v>
      </c>
      <c r="C8" s="2">
        <v>3367</v>
      </c>
      <c r="D8" s="2">
        <v>3387</v>
      </c>
      <c r="E8" s="2">
        <f>+AA8-SUM(B8:D8)</f>
        <v>3414</v>
      </c>
      <c r="F8" s="2">
        <v>3387</v>
      </c>
      <c r="G8" s="2">
        <v>3437</v>
      </c>
      <c r="H8" s="2">
        <v>3479</v>
      </c>
      <c r="I8" s="2">
        <v>3553</v>
      </c>
      <c r="J8" s="2">
        <v>3529</v>
      </c>
      <c r="K8" s="2">
        <v>3559</v>
      </c>
      <c r="L8" s="2">
        <v>3678</v>
      </c>
      <c r="M8" s="2">
        <v>3784</v>
      </c>
      <c r="N8" s="2">
        <v>3727</v>
      </c>
      <c r="O8" s="2">
        <v>3757</v>
      </c>
      <c r="S8" s="2">
        <v>10970</v>
      </c>
      <c r="T8" s="2">
        <v>11411</v>
      </c>
      <c r="U8" s="2">
        <v>11993</v>
      </c>
      <c r="V8" s="2">
        <v>12300</v>
      </c>
      <c r="W8" s="2">
        <v>12621</v>
      </c>
      <c r="X8" s="2">
        <v>12899</v>
      </c>
      <c r="Y8" s="2">
        <v>13323</v>
      </c>
      <c r="Z8" s="2">
        <v>13804</v>
      </c>
      <c r="AA8" s="2">
        <v>13539</v>
      </c>
      <c r="AB8" s="2">
        <v>13856</v>
      </c>
      <c r="AC8" s="2">
        <v>14550</v>
      </c>
      <c r="AD8"/>
      <c r="AE8"/>
      <c r="AF8"/>
      <c r="AG8"/>
      <c r="AH8"/>
      <c r="AI8"/>
      <c r="AJ8"/>
      <c r="AK8"/>
      <c r="AL8"/>
      <c r="AM8"/>
    </row>
    <row r="9" spans="1:39" s="6" customFormat="1" x14ac:dyDescent="0.2">
      <c r="A9" s="6" t="s">
        <v>0</v>
      </c>
      <c r="B9" s="6">
        <f t="shared" ref="B9:O9" si="0">+B7+B8</f>
        <v>12900</v>
      </c>
      <c r="C9" s="6">
        <f t="shared" si="0"/>
        <v>12720</v>
      </c>
      <c r="D9" s="6">
        <f t="shared" si="0"/>
        <v>12835</v>
      </c>
      <c r="E9" s="6">
        <f t="shared" si="0"/>
        <v>13102</v>
      </c>
      <c r="F9" s="6">
        <f t="shared" si="0"/>
        <v>13632</v>
      </c>
      <c r="G9" s="6">
        <f t="shared" si="0"/>
        <v>13592</v>
      </c>
      <c r="H9" s="6">
        <f t="shared" si="0"/>
        <v>14571</v>
      </c>
      <c r="I9" s="6">
        <f t="shared" si="0"/>
        <v>15203</v>
      </c>
      <c r="J9" s="6">
        <f t="shared" si="0"/>
        <v>14668</v>
      </c>
      <c r="K9" s="6">
        <f t="shared" si="0"/>
        <v>12791</v>
      </c>
      <c r="L9" s="6">
        <f t="shared" si="0"/>
        <v>12702</v>
      </c>
      <c r="M9" s="6">
        <f t="shared" si="0"/>
        <v>13642</v>
      </c>
      <c r="N9" s="6">
        <f t="shared" si="0"/>
        <v>13841</v>
      </c>
      <c r="O9" s="6">
        <f t="shared" si="0"/>
        <v>13991</v>
      </c>
      <c r="P9" s="6">
        <v>14100</v>
      </c>
      <c r="S9" s="6">
        <f t="shared" ref="S9:AC9" si="1">+S7+S8</f>
        <v>47142</v>
      </c>
      <c r="T9" s="6">
        <f t="shared" si="1"/>
        <v>49161</v>
      </c>
      <c r="U9" s="6">
        <f t="shared" si="1"/>
        <v>49247</v>
      </c>
      <c r="V9" s="6">
        <f t="shared" si="1"/>
        <v>48005</v>
      </c>
      <c r="W9" s="6">
        <f t="shared" si="1"/>
        <v>49330</v>
      </c>
      <c r="X9" s="6">
        <f t="shared" si="1"/>
        <v>51904</v>
      </c>
      <c r="Y9" s="6">
        <f t="shared" si="1"/>
        <v>49301</v>
      </c>
      <c r="Z9" s="6">
        <f t="shared" si="1"/>
        <v>49818</v>
      </c>
      <c r="AA9" s="6">
        <f t="shared" si="1"/>
        <v>51557</v>
      </c>
      <c r="AB9" s="6">
        <f t="shared" si="1"/>
        <v>56998</v>
      </c>
      <c r="AC9" s="6">
        <f t="shared" si="1"/>
        <v>53803</v>
      </c>
      <c r="AD9" s="6">
        <v>56600</v>
      </c>
    </row>
    <row r="10" spans="1:39" x14ac:dyDescent="0.2">
      <c r="A10" s="1" t="s">
        <v>1</v>
      </c>
      <c r="B10" s="1">
        <v>4847</v>
      </c>
      <c r="C10" s="1">
        <v>4671</v>
      </c>
      <c r="D10" s="1">
        <v>4714</v>
      </c>
      <c r="E10" s="2">
        <f>+AA10-SUM(B10:D10)</f>
        <v>5077</v>
      </c>
      <c r="F10" s="1">
        <v>5286</v>
      </c>
      <c r="G10" s="1">
        <v>5165</v>
      </c>
      <c r="H10" s="1">
        <v>5339</v>
      </c>
      <c r="I10" s="1">
        <v>5455</v>
      </c>
      <c r="J10" s="1">
        <v>5111</v>
      </c>
      <c r="K10" s="1">
        <v>4574</v>
      </c>
      <c r="L10" s="1">
        <v>4429</v>
      </c>
      <c r="M10" s="1">
        <v>4861</v>
      </c>
      <c r="N10" s="1">
        <v>4720</v>
      </c>
      <c r="O10" s="1">
        <v>4880</v>
      </c>
      <c r="S10" s="1">
        <v>19373</v>
      </c>
      <c r="T10" s="1">
        <v>19480</v>
      </c>
      <c r="U10" s="1">
        <v>18287</v>
      </c>
      <c r="V10" s="1">
        <v>17781</v>
      </c>
      <c r="W10" s="1">
        <v>18724</v>
      </c>
      <c r="X10" s="1">
        <v>19238</v>
      </c>
      <c r="Y10" s="1">
        <v>17618</v>
      </c>
      <c r="Z10" s="1">
        <v>17924</v>
      </c>
      <c r="AA10" s="1">
        <v>19309</v>
      </c>
      <c r="AB10" s="1">
        <v>21245</v>
      </c>
      <c r="AC10" s="1">
        <v>18975</v>
      </c>
    </row>
    <row r="11" spans="1:39" x14ac:dyDescent="0.2">
      <c r="A11" s="1" t="s">
        <v>2</v>
      </c>
      <c r="B11" s="1">
        <f t="shared" ref="B11:O11" si="2">+B9-B10</f>
        <v>8053</v>
      </c>
      <c r="C11" s="1">
        <f t="shared" si="2"/>
        <v>8049</v>
      </c>
      <c r="D11" s="1">
        <f t="shared" si="2"/>
        <v>8121</v>
      </c>
      <c r="E11" s="1">
        <f t="shared" si="2"/>
        <v>8025</v>
      </c>
      <c r="F11" s="1">
        <f t="shared" si="2"/>
        <v>8346</v>
      </c>
      <c r="G11" s="1">
        <f t="shared" si="2"/>
        <v>8427</v>
      </c>
      <c r="H11" s="1">
        <f t="shared" si="2"/>
        <v>9232</v>
      </c>
      <c r="I11" s="1">
        <f t="shared" si="2"/>
        <v>9748</v>
      </c>
      <c r="J11" s="1">
        <f t="shared" si="2"/>
        <v>9557</v>
      </c>
      <c r="K11" s="1">
        <f t="shared" si="2"/>
        <v>8217</v>
      </c>
      <c r="L11" s="1">
        <f t="shared" si="2"/>
        <v>8273</v>
      </c>
      <c r="M11" s="1">
        <f t="shared" si="2"/>
        <v>8781</v>
      </c>
      <c r="N11" s="1">
        <f t="shared" si="2"/>
        <v>9121</v>
      </c>
      <c r="O11" s="1">
        <f t="shared" si="2"/>
        <v>9111</v>
      </c>
      <c r="S11" s="1">
        <f t="shared" ref="S11:AC11" si="3">+S9-S10</f>
        <v>27769</v>
      </c>
      <c r="T11" s="1">
        <f t="shared" si="3"/>
        <v>29681</v>
      </c>
      <c r="U11" s="1">
        <f t="shared" si="3"/>
        <v>30960</v>
      </c>
      <c r="V11" s="1">
        <f t="shared" si="3"/>
        <v>30224</v>
      </c>
      <c r="W11" s="1">
        <f t="shared" si="3"/>
        <v>30606</v>
      </c>
      <c r="X11" s="1">
        <f t="shared" si="3"/>
        <v>32666</v>
      </c>
      <c r="Y11" s="1">
        <f t="shared" si="3"/>
        <v>31683</v>
      </c>
      <c r="Z11" s="1">
        <f t="shared" si="3"/>
        <v>31894</v>
      </c>
      <c r="AA11" s="1">
        <f t="shared" si="3"/>
        <v>32248</v>
      </c>
      <c r="AB11" s="1">
        <f t="shared" si="3"/>
        <v>35753</v>
      </c>
      <c r="AC11" s="1">
        <f t="shared" si="3"/>
        <v>34828</v>
      </c>
    </row>
    <row r="12" spans="1:39" x14ac:dyDescent="0.2">
      <c r="A12" s="1" t="s">
        <v>3</v>
      </c>
      <c r="B12" s="1">
        <v>1714</v>
      </c>
      <c r="C12" s="1">
        <v>1670</v>
      </c>
      <c r="D12" s="1">
        <v>1708</v>
      </c>
      <c r="E12" s="2">
        <f t="shared" ref="E12:E14" si="4">+AA12-SUM(B12:D12)</f>
        <v>1682</v>
      </c>
      <c r="F12" s="1">
        <v>1781</v>
      </c>
      <c r="G12" s="1">
        <v>1855</v>
      </c>
      <c r="H12" s="1">
        <v>1962</v>
      </c>
      <c r="I12" s="1">
        <v>1953</v>
      </c>
      <c r="J12" s="1">
        <v>1913</v>
      </c>
      <c r="K12" s="1">
        <v>1943</v>
      </c>
      <c r="L12" s="1">
        <v>1948</v>
      </c>
      <c r="M12" s="1">
        <v>2179</v>
      </c>
      <c r="N12" s="1">
        <v>2286</v>
      </c>
      <c r="O12" s="1">
        <v>2299</v>
      </c>
      <c r="S12" s="1">
        <v>6294</v>
      </c>
      <c r="T12" s="1">
        <v>6207</v>
      </c>
      <c r="U12" s="1">
        <v>6296</v>
      </c>
      <c r="V12" s="1">
        <v>6059</v>
      </c>
      <c r="W12" s="1">
        <v>6332</v>
      </c>
      <c r="X12" s="1">
        <v>6577</v>
      </c>
      <c r="Y12" s="1">
        <v>6347</v>
      </c>
      <c r="Z12" s="1">
        <v>6549</v>
      </c>
      <c r="AA12" s="1">
        <v>6774</v>
      </c>
      <c r="AB12" s="1">
        <v>7551</v>
      </c>
      <c r="AC12" s="1">
        <v>7983</v>
      </c>
    </row>
    <row r="13" spans="1:39" x14ac:dyDescent="0.2">
      <c r="A13" s="1" t="s">
        <v>39</v>
      </c>
      <c r="B13" s="1">
        <v>2261</v>
      </c>
      <c r="C13" s="1">
        <v>2266</v>
      </c>
      <c r="D13" s="1">
        <v>2209</v>
      </c>
      <c r="E13" s="2">
        <f t="shared" si="4"/>
        <v>2349</v>
      </c>
      <c r="F13" s="1">
        <v>2391</v>
      </c>
      <c r="G13" s="1">
        <v>2384</v>
      </c>
      <c r="H13" s="1">
        <v>2526</v>
      </c>
      <c r="I13" s="1">
        <v>2579</v>
      </c>
      <c r="J13" s="1">
        <v>2506</v>
      </c>
      <c r="K13" s="1">
        <v>2458</v>
      </c>
      <c r="L13" s="1">
        <v>2559</v>
      </c>
      <c r="M13" s="1">
        <v>2841</v>
      </c>
      <c r="N13" s="1">
        <v>2752</v>
      </c>
      <c r="O13" s="1">
        <v>2672</v>
      </c>
      <c r="S13" s="1">
        <v>9503</v>
      </c>
      <c r="T13" s="1">
        <v>9821</v>
      </c>
      <c r="U13" s="1">
        <v>9619</v>
      </c>
      <c r="V13" s="1">
        <v>9184</v>
      </c>
      <c r="W13" s="1">
        <v>9242</v>
      </c>
      <c r="X13" s="1">
        <v>9571</v>
      </c>
      <c r="Y13" s="1">
        <v>9169</v>
      </c>
      <c r="Z13" s="1">
        <v>9259</v>
      </c>
      <c r="AA13" s="1">
        <v>9085</v>
      </c>
      <c r="AB13" s="1">
        <v>9880</v>
      </c>
      <c r="AC13" s="1">
        <v>10364</v>
      </c>
    </row>
    <row r="14" spans="1:39" x14ac:dyDescent="0.2">
      <c r="A14" s="1" t="s">
        <v>38</v>
      </c>
      <c r="B14" s="1">
        <v>551</v>
      </c>
      <c r="C14" s="1">
        <v>544</v>
      </c>
      <c r="D14" s="1">
        <v>517</v>
      </c>
      <c r="E14" s="2">
        <f t="shared" si="4"/>
        <v>489</v>
      </c>
      <c r="F14" s="1">
        <v>565</v>
      </c>
      <c r="G14" s="1">
        <v>582</v>
      </c>
      <c r="H14" s="1">
        <v>641</v>
      </c>
      <c r="I14" s="1">
        <v>690</v>
      </c>
      <c r="J14" s="1">
        <v>672</v>
      </c>
      <c r="K14" s="1">
        <v>642</v>
      </c>
      <c r="L14" s="1">
        <v>736</v>
      </c>
      <c r="M14" s="1">
        <v>763</v>
      </c>
      <c r="N14" s="1">
        <v>795</v>
      </c>
      <c r="O14" s="1">
        <v>752</v>
      </c>
      <c r="S14" s="1">
        <v>1934</v>
      </c>
      <c r="T14" s="1">
        <v>2040</v>
      </c>
      <c r="U14" s="1">
        <v>1814</v>
      </c>
      <c r="V14" s="1">
        <v>1993</v>
      </c>
      <c r="W14" s="1">
        <v>2144</v>
      </c>
      <c r="X14" s="1">
        <v>1827</v>
      </c>
      <c r="Y14" s="1">
        <v>1925</v>
      </c>
      <c r="Z14" s="1">
        <v>2152</v>
      </c>
      <c r="AA14" s="1">
        <v>2101</v>
      </c>
      <c r="AB14" s="1">
        <v>2478</v>
      </c>
      <c r="AC14" s="1">
        <v>2813</v>
      </c>
    </row>
    <row r="15" spans="1:39" x14ac:dyDescent="0.2">
      <c r="A15" s="1" t="s">
        <v>4</v>
      </c>
      <c r="B15" s="1">
        <f t="shared" ref="B15:O15" si="5">+SUM(B12:B14)</f>
        <v>4526</v>
      </c>
      <c r="C15" s="1">
        <f t="shared" si="5"/>
        <v>4480</v>
      </c>
      <c r="D15" s="1">
        <f t="shared" si="5"/>
        <v>4434</v>
      </c>
      <c r="E15" s="1">
        <f t="shared" si="5"/>
        <v>4520</v>
      </c>
      <c r="F15" s="1">
        <f t="shared" si="5"/>
        <v>4737</v>
      </c>
      <c r="G15" s="1">
        <f t="shared" si="5"/>
        <v>4821</v>
      </c>
      <c r="H15" s="1">
        <f t="shared" si="5"/>
        <v>5129</v>
      </c>
      <c r="I15" s="1">
        <f t="shared" si="5"/>
        <v>5222</v>
      </c>
      <c r="J15" s="1">
        <f t="shared" si="5"/>
        <v>5091</v>
      </c>
      <c r="K15" s="1">
        <f t="shared" si="5"/>
        <v>5043</v>
      </c>
      <c r="L15" s="1">
        <f t="shared" si="5"/>
        <v>5243</v>
      </c>
      <c r="M15" s="1">
        <f t="shared" si="5"/>
        <v>5783</v>
      </c>
      <c r="N15" s="1">
        <f t="shared" si="5"/>
        <v>5833</v>
      </c>
      <c r="O15" s="1">
        <f t="shared" si="5"/>
        <v>5723</v>
      </c>
      <c r="S15" s="1">
        <f t="shared" ref="S15:AC15" si="6">+SUM(S12:S14)</f>
        <v>17731</v>
      </c>
      <c r="T15" s="1">
        <f t="shared" si="6"/>
        <v>18068</v>
      </c>
      <c r="U15" s="1">
        <f t="shared" si="6"/>
        <v>17729</v>
      </c>
      <c r="V15" s="1">
        <f t="shared" si="6"/>
        <v>17236</v>
      </c>
      <c r="W15" s="1">
        <f t="shared" si="6"/>
        <v>17718</v>
      </c>
      <c r="X15" s="1">
        <f t="shared" si="6"/>
        <v>17975</v>
      </c>
      <c r="Y15" s="1">
        <f t="shared" si="6"/>
        <v>17441</v>
      </c>
      <c r="Z15" s="1">
        <f t="shared" si="6"/>
        <v>17960</v>
      </c>
      <c r="AA15" s="1">
        <f t="shared" si="6"/>
        <v>17960</v>
      </c>
      <c r="AB15" s="1">
        <f t="shared" si="6"/>
        <v>19909</v>
      </c>
      <c r="AC15" s="1">
        <f t="shared" si="6"/>
        <v>21160</v>
      </c>
    </row>
    <row r="16" spans="1:39" s="6" customFormat="1" x14ac:dyDescent="0.2">
      <c r="A16" s="6" t="s">
        <v>5</v>
      </c>
      <c r="B16" s="6">
        <f t="shared" ref="B16:O16" si="7">+B11-B15</f>
        <v>3527</v>
      </c>
      <c r="C16" s="6">
        <f t="shared" si="7"/>
        <v>3569</v>
      </c>
      <c r="D16" s="6">
        <f t="shared" si="7"/>
        <v>3687</v>
      </c>
      <c r="E16" s="6">
        <f t="shared" si="7"/>
        <v>3505</v>
      </c>
      <c r="F16" s="6">
        <f t="shared" si="7"/>
        <v>3609</v>
      </c>
      <c r="G16" s="6">
        <f t="shared" si="7"/>
        <v>3606</v>
      </c>
      <c r="H16" s="6">
        <f t="shared" si="7"/>
        <v>4103</v>
      </c>
      <c r="I16" s="6">
        <f t="shared" si="7"/>
        <v>4526</v>
      </c>
      <c r="J16" s="6">
        <f t="shared" si="7"/>
        <v>4466</v>
      </c>
      <c r="K16" s="6">
        <f t="shared" si="7"/>
        <v>3174</v>
      </c>
      <c r="L16" s="6">
        <f t="shared" si="7"/>
        <v>3030</v>
      </c>
      <c r="M16" s="6">
        <f t="shared" si="7"/>
        <v>2998</v>
      </c>
      <c r="N16" s="6">
        <f t="shared" si="7"/>
        <v>3288</v>
      </c>
      <c r="O16" s="6">
        <f t="shared" si="7"/>
        <v>3388</v>
      </c>
      <c r="S16" s="6">
        <f t="shared" ref="S16:AC16" si="8">+S11-S15</f>
        <v>10038</v>
      </c>
      <c r="T16" s="6">
        <f t="shared" si="8"/>
        <v>11613</v>
      </c>
      <c r="U16" s="6">
        <f t="shared" si="8"/>
        <v>13231</v>
      </c>
      <c r="V16" s="6">
        <f t="shared" si="8"/>
        <v>12988</v>
      </c>
      <c r="W16" s="6">
        <f t="shared" si="8"/>
        <v>12888</v>
      </c>
      <c r="X16" s="6">
        <f t="shared" si="8"/>
        <v>14691</v>
      </c>
      <c r="Y16" s="6">
        <f t="shared" si="8"/>
        <v>14242</v>
      </c>
      <c r="Z16" s="6">
        <f t="shared" si="8"/>
        <v>13934</v>
      </c>
      <c r="AA16" s="6">
        <f t="shared" si="8"/>
        <v>14288</v>
      </c>
      <c r="AB16" s="6">
        <f t="shared" si="8"/>
        <v>15844</v>
      </c>
      <c r="AC16" s="6">
        <f t="shared" si="8"/>
        <v>13668</v>
      </c>
    </row>
    <row r="17" spans="1:30" x14ac:dyDescent="0.2">
      <c r="A17" s="1" t="s">
        <v>6</v>
      </c>
      <c r="B17" s="1">
        <f>121-89</f>
        <v>32</v>
      </c>
      <c r="C17" s="1">
        <f>111-88</f>
        <v>23</v>
      </c>
      <c r="D17" s="1">
        <f>115-90</f>
        <v>25</v>
      </c>
      <c r="E17" s="2">
        <f t="shared" ref="E17:E19" si="9">+AA17-SUM(B17:D17)</f>
        <v>36</v>
      </c>
      <c r="F17" s="1">
        <f>169-100</f>
        <v>69</v>
      </c>
      <c r="G17" s="1">
        <f>219-107</f>
        <v>112</v>
      </c>
      <c r="H17" s="1">
        <f>262-109</f>
        <v>153</v>
      </c>
      <c r="I17" s="1">
        <f>312-111</f>
        <v>201</v>
      </c>
      <c r="J17" s="1">
        <f>360-111</f>
        <v>249</v>
      </c>
      <c r="K17" s="1">
        <f>324-120</f>
        <v>204</v>
      </c>
      <c r="L17" s="1">
        <f>411-357</f>
        <v>54</v>
      </c>
      <c r="M17" s="1">
        <f>270-418</f>
        <v>-148</v>
      </c>
      <c r="N17" s="1">
        <f>286-418</f>
        <v>-132</v>
      </c>
      <c r="O17" s="1">
        <f>238-404</f>
        <v>-166</v>
      </c>
      <c r="S17" s="1">
        <f>691-564</f>
        <v>127</v>
      </c>
      <c r="T17" s="1">
        <f>769-566</f>
        <v>203</v>
      </c>
      <c r="U17" s="1">
        <f>1005-676</f>
        <v>329</v>
      </c>
      <c r="V17" s="1">
        <f>1338-861</f>
        <v>477</v>
      </c>
      <c r="W17" s="1">
        <f>1508-943</f>
        <v>565</v>
      </c>
      <c r="X17" s="1">
        <f>1308-859</f>
        <v>449</v>
      </c>
      <c r="Y17" s="1">
        <f>920-585</f>
        <v>335</v>
      </c>
      <c r="Z17" s="1">
        <f>618-434</f>
        <v>184</v>
      </c>
      <c r="AA17" s="1">
        <f>476-360</f>
        <v>116</v>
      </c>
      <c r="AB17" s="1">
        <f>962-427</f>
        <v>535</v>
      </c>
      <c r="AC17" s="1">
        <f>1365-1006</f>
        <v>359</v>
      </c>
    </row>
    <row r="18" spans="1:30" x14ac:dyDescent="0.2">
      <c r="A18" s="1" t="s">
        <v>7</v>
      </c>
      <c r="B18" s="1">
        <f t="shared" ref="B18:O18" si="10">+B16+B17</f>
        <v>3559</v>
      </c>
      <c r="C18" s="1">
        <f t="shared" si="10"/>
        <v>3592</v>
      </c>
      <c r="D18" s="1">
        <f t="shared" si="10"/>
        <v>3712</v>
      </c>
      <c r="E18" s="1">
        <f t="shared" si="10"/>
        <v>3541</v>
      </c>
      <c r="F18" s="1">
        <f t="shared" si="10"/>
        <v>3678</v>
      </c>
      <c r="G18" s="1">
        <f t="shared" si="10"/>
        <v>3718</v>
      </c>
      <c r="H18" s="1">
        <f t="shared" si="10"/>
        <v>4256</v>
      </c>
      <c r="I18" s="1">
        <f t="shared" si="10"/>
        <v>4727</v>
      </c>
      <c r="J18" s="1">
        <f t="shared" si="10"/>
        <v>4715</v>
      </c>
      <c r="K18" s="1">
        <f t="shared" si="10"/>
        <v>3378</v>
      </c>
      <c r="L18" s="1">
        <f t="shared" si="10"/>
        <v>3084</v>
      </c>
      <c r="M18" s="1">
        <f t="shared" si="10"/>
        <v>2850</v>
      </c>
      <c r="N18" s="1">
        <f t="shared" si="10"/>
        <v>3156</v>
      </c>
      <c r="O18" s="1">
        <f t="shared" si="10"/>
        <v>3222</v>
      </c>
      <c r="S18" s="1">
        <f t="shared" ref="S18:AC18" si="11">+S16+S17</f>
        <v>10165</v>
      </c>
      <c r="T18" s="1">
        <f t="shared" si="11"/>
        <v>11816</v>
      </c>
      <c r="U18" s="1">
        <f t="shared" si="11"/>
        <v>13560</v>
      </c>
      <c r="V18" s="1">
        <f t="shared" si="11"/>
        <v>13465</v>
      </c>
      <c r="W18" s="1">
        <f t="shared" si="11"/>
        <v>13453</v>
      </c>
      <c r="X18" s="1">
        <f t="shared" si="11"/>
        <v>15140</v>
      </c>
      <c r="Y18" s="1">
        <f t="shared" si="11"/>
        <v>14577</v>
      </c>
      <c r="Z18" s="1">
        <f t="shared" si="11"/>
        <v>14118</v>
      </c>
      <c r="AA18" s="1">
        <f t="shared" si="11"/>
        <v>14404</v>
      </c>
      <c r="AB18" s="1">
        <f t="shared" si="11"/>
        <v>16379</v>
      </c>
      <c r="AC18" s="1">
        <f t="shared" si="11"/>
        <v>14027</v>
      </c>
    </row>
    <row r="19" spans="1:30" x14ac:dyDescent="0.2">
      <c r="A19" s="1" t="s">
        <v>8</v>
      </c>
      <c r="B19" s="1">
        <v>677</v>
      </c>
      <c r="C19" s="1">
        <v>630</v>
      </c>
      <c r="D19" s="1">
        <v>757</v>
      </c>
      <c r="E19" s="2">
        <f t="shared" si="9"/>
        <v>601</v>
      </c>
      <c r="F19" s="1">
        <v>805</v>
      </c>
      <c r="G19" s="1">
        <v>642</v>
      </c>
      <c r="H19" s="1">
        <v>745</v>
      </c>
      <c r="I19" s="1">
        <v>513</v>
      </c>
      <c r="J19" s="1">
        <v>804</v>
      </c>
      <c r="K19" s="1">
        <v>527</v>
      </c>
      <c r="L19" s="1">
        <v>349</v>
      </c>
      <c r="M19" s="1">
        <v>234</v>
      </c>
      <c r="N19" s="1">
        <v>-444</v>
      </c>
      <c r="O19" s="1">
        <v>459</v>
      </c>
      <c r="S19" s="1">
        <v>1862</v>
      </c>
      <c r="T19" s="1">
        <v>2220</v>
      </c>
      <c r="U19" s="1">
        <v>2181</v>
      </c>
      <c r="V19" s="1">
        <v>2678</v>
      </c>
      <c r="W19" s="1">
        <v>12929</v>
      </c>
      <c r="X19" s="1">
        <v>2950</v>
      </c>
      <c r="Y19" s="1">
        <v>2756</v>
      </c>
      <c r="Z19" s="1">
        <v>2671</v>
      </c>
      <c r="AA19" s="1">
        <v>2665</v>
      </c>
      <c r="AB19" s="1">
        <v>2705</v>
      </c>
      <c r="AC19" s="1">
        <v>1914</v>
      </c>
    </row>
    <row r="20" spans="1:30" x14ac:dyDescent="0.2">
      <c r="A20" s="1" t="s">
        <v>9</v>
      </c>
      <c r="B20" s="1">
        <f t="shared" ref="B20:O20" si="12">+B18-B19</f>
        <v>2882</v>
      </c>
      <c r="C20" s="1">
        <f t="shared" si="12"/>
        <v>2962</v>
      </c>
      <c r="D20" s="1">
        <f t="shared" si="12"/>
        <v>2955</v>
      </c>
      <c r="E20" s="1">
        <f t="shared" si="12"/>
        <v>2940</v>
      </c>
      <c r="F20" s="1">
        <f t="shared" si="12"/>
        <v>2873</v>
      </c>
      <c r="G20" s="1">
        <f t="shared" si="12"/>
        <v>3076</v>
      </c>
      <c r="H20" s="1">
        <f t="shared" si="12"/>
        <v>3511</v>
      </c>
      <c r="I20" s="1">
        <f t="shared" si="12"/>
        <v>4214</v>
      </c>
      <c r="J20" s="1">
        <f t="shared" si="12"/>
        <v>3911</v>
      </c>
      <c r="K20" s="1">
        <f t="shared" si="12"/>
        <v>2851</v>
      </c>
      <c r="L20" s="1">
        <f t="shared" si="12"/>
        <v>2735</v>
      </c>
      <c r="M20" s="1">
        <f t="shared" si="12"/>
        <v>2616</v>
      </c>
      <c r="N20" s="1">
        <f t="shared" si="12"/>
        <v>3600</v>
      </c>
      <c r="O20" s="1">
        <f t="shared" si="12"/>
        <v>2763</v>
      </c>
      <c r="S20" s="1">
        <f t="shared" ref="S20:AC20" si="13">+S18-S19</f>
        <v>8303</v>
      </c>
      <c r="T20" s="1">
        <f t="shared" si="13"/>
        <v>9596</v>
      </c>
      <c r="U20" s="1">
        <f t="shared" si="13"/>
        <v>11379</v>
      </c>
      <c r="V20" s="1">
        <f t="shared" si="13"/>
        <v>10787</v>
      </c>
      <c r="W20" s="1">
        <f t="shared" si="13"/>
        <v>524</v>
      </c>
      <c r="X20" s="1">
        <f t="shared" si="13"/>
        <v>12190</v>
      </c>
      <c r="Y20" s="1">
        <f t="shared" si="13"/>
        <v>11821</v>
      </c>
      <c r="Z20" s="1">
        <f t="shared" si="13"/>
        <v>11447</v>
      </c>
      <c r="AA20" s="1">
        <f t="shared" si="13"/>
        <v>11739</v>
      </c>
      <c r="AB20" s="1">
        <f t="shared" si="13"/>
        <v>13674</v>
      </c>
      <c r="AC20" s="1">
        <f t="shared" si="13"/>
        <v>12113</v>
      </c>
    </row>
    <row r="21" spans="1:30" s="4" customFormat="1" x14ac:dyDescent="0.2">
      <c r="A21" s="4" t="s">
        <v>10</v>
      </c>
      <c r="B21" s="4">
        <f t="shared" ref="B21:O21" si="14">+B20/B22</f>
        <v>0.67923638934716002</v>
      </c>
      <c r="C21" s="4">
        <f t="shared" si="14"/>
        <v>0.70439952437574316</v>
      </c>
      <c r="D21" s="4">
        <f t="shared" si="14"/>
        <v>0.70863309352517989</v>
      </c>
      <c r="E21" s="4">
        <f t="shared" si="14"/>
        <v>0.70843373493975903</v>
      </c>
      <c r="F21" s="4">
        <f t="shared" si="14"/>
        <v>0.6980077745383868</v>
      </c>
      <c r="G21" s="4">
        <f t="shared" si="14"/>
        <v>0.74732750242954327</v>
      </c>
      <c r="H21" s="4">
        <f t="shared" si="14"/>
        <v>0.85425790754257902</v>
      </c>
      <c r="I21" s="4">
        <f t="shared" si="14"/>
        <v>1.0295626679697043</v>
      </c>
      <c r="J21" s="4">
        <f t="shared" si="14"/>
        <v>0.95693662833374116</v>
      </c>
      <c r="K21" s="4">
        <f t="shared" si="14"/>
        <v>0.69997544807267376</v>
      </c>
      <c r="L21" s="4">
        <f t="shared" si="14"/>
        <v>0.67364532019704437</v>
      </c>
      <c r="M21" s="4">
        <f t="shared" si="14"/>
        <v>0.64832713754646842</v>
      </c>
      <c r="N21" s="4">
        <f t="shared" si="14"/>
        <v>0.89708447545477199</v>
      </c>
      <c r="O21" s="4">
        <f t="shared" si="14"/>
        <v>0.68988764044943818</v>
      </c>
      <c r="S21" s="4">
        <f t="shared" ref="S21:AC21" si="15">+S20/S22</f>
        <v>1.5722401060405227</v>
      </c>
      <c r="T21" s="4">
        <f t="shared" si="15"/>
        <v>1.8647493198600855</v>
      </c>
      <c r="U21" s="4">
        <f t="shared" si="15"/>
        <v>2.2364386792452828</v>
      </c>
      <c r="V21" s="4">
        <f t="shared" si="15"/>
        <v>2.1364626658744306</v>
      </c>
      <c r="W21" s="4">
        <f t="shared" si="15"/>
        <v>0.10735505019463225</v>
      </c>
      <c r="X21" s="4">
        <f t="shared" si="15"/>
        <v>2.7374803503256233</v>
      </c>
      <c r="Y21" s="4">
        <f t="shared" si="15"/>
        <v>2.7787964268923364</v>
      </c>
      <c r="Z21" s="4">
        <f t="shared" si="15"/>
        <v>2.7023135033050045</v>
      </c>
      <c r="AA21" s="4">
        <f t="shared" si="15"/>
        <v>2.8003339694656488</v>
      </c>
      <c r="AB21" s="4">
        <f t="shared" si="15"/>
        <v>3.331059683313033</v>
      </c>
      <c r="AC21" s="4">
        <f t="shared" si="15"/>
        <v>2.982028557360906</v>
      </c>
    </row>
    <row r="22" spans="1:30" x14ac:dyDescent="0.2">
      <c r="A22" s="1" t="s">
        <v>11</v>
      </c>
      <c r="B22" s="1">
        <v>4243</v>
      </c>
      <c r="C22" s="1">
        <v>4205</v>
      </c>
      <c r="D22" s="1">
        <v>4170</v>
      </c>
      <c r="E22" s="1">
        <f>+AA22*4-SUM(B22:D22)</f>
        <v>4150</v>
      </c>
      <c r="F22" s="1">
        <v>4116</v>
      </c>
      <c r="G22" s="1">
        <v>4116</v>
      </c>
      <c r="H22" s="1">
        <v>4110</v>
      </c>
      <c r="I22" s="1">
        <v>4093</v>
      </c>
      <c r="J22" s="1">
        <v>4087</v>
      </c>
      <c r="K22" s="1">
        <v>4073</v>
      </c>
      <c r="L22" s="1">
        <v>4060</v>
      </c>
      <c r="M22" s="1">
        <v>4035</v>
      </c>
      <c r="N22" s="1">
        <v>4013</v>
      </c>
      <c r="O22" s="1">
        <v>4005</v>
      </c>
      <c r="S22" s="1">
        <v>5281</v>
      </c>
      <c r="T22" s="1">
        <v>5146</v>
      </c>
      <c r="U22" s="1">
        <v>5088</v>
      </c>
      <c r="V22" s="1">
        <v>5049</v>
      </c>
      <c r="W22" s="1">
        <v>4881</v>
      </c>
      <c r="X22" s="1">
        <v>4453</v>
      </c>
      <c r="Y22" s="1">
        <v>4254</v>
      </c>
      <c r="Z22" s="1">
        <v>4236</v>
      </c>
      <c r="AA22" s="1">
        <v>4192</v>
      </c>
      <c r="AB22" s="1">
        <v>4105</v>
      </c>
      <c r="AC22" s="1">
        <v>4062</v>
      </c>
    </row>
    <row r="24" spans="1:30" s="3" customFormat="1" x14ac:dyDescent="0.2">
      <c r="A24" s="3" t="s">
        <v>12</v>
      </c>
      <c r="B24" s="3">
        <f t="shared" ref="B24:O24" si="16">+B11/B9</f>
        <v>0.62426356589147292</v>
      </c>
      <c r="C24" s="3">
        <f t="shared" si="16"/>
        <v>0.63278301886792454</v>
      </c>
      <c r="D24" s="3">
        <f t="shared" si="16"/>
        <v>0.63272302298402805</v>
      </c>
      <c r="E24" s="3">
        <f t="shared" si="16"/>
        <v>0.61250190810563276</v>
      </c>
      <c r="F24" s="3">
        <f t="shared" si="16"/>
        <v>0.61223591549295775</v>
      </c>
      <c r="G24" s="3">
        <f t="shared" si="16"/>
        <v>0.61999705709240727</v>
      </c>
      <c r="H24" s="3">
        <f t="shared" si="16"/>
        <v>0.63358726237046192</v>
      </c>
      <c r="I24" s="3">
        <f t="shared" si="16"/>
        <v>0.64118923896599356</v>
      </c>
      <c r="J24" s="3">
        <f t="shared" si="16"/>
        <v>0.6515544041450777</v>
      </c>
      <c r="K24" s="3">
        <f t="shared" si="16"/>
        <v>0.64240481588616993</v>
      </c>
      <c r="L24" s="3">
        <f t="shared" si="16"/>
        <v>0.6513147535821131</v>
      </c>
      <c r="M24" s="3">
        <f t="shared" si="16"/>
        <v>0.6436739481014514</v>
      </c>
      <c r="N24" s="3">
        <f t="shared" si="16"/>
        <v>0.65898417744382631</v>
      </c>
      <c r="O24" s="3">
        <f t="shared" si="16"/>
        <v>0.65120434565077545</v>
      </c>
      <c r="S24" s="3">
        <f t="shared" ref="S24:AC24" si="17">+S11/S9</f>
        <v>0.58905010394128376</v>
      </c>
      <c r="T24" s="3">
        <f t="shared" si="17"/>
        <v>0.60375094078639568</v>
      </c>
      <c r="U24" s="3">
        <f t="shared" si="17"/>
        <v>0.62866773610575266</v>
      </c>
      <c r="V24" s="3">
        <f t="shared" si="17"/>
        <v>0.6296010832204979</v>
      </c>
      <c r="W24" s="3">
        <f t="shared" si="17"/>
        <v>0.6204338130954794</v>
      </c>
      <c r="X24" s="3">
        <f t="shared" si="17"/>
        <v>0.62935419235511714</v>
      </c>
      <c r="Y24" s="3">
        <f t="shared" si="17"/>
        <v>0.64264416543274983</v>
      </c>
      <c r="Z24" s="3">
        <f t="shared" si="17"/>
        <v>0.64021036573126178</v>
      </c>
      <c r="AA24" s="3">
        <f t="shared" si="17"/>
        <v>0.62548247570649962</v>
      </c>
      <c r="AB24" s="3">
        <f t="shared" si="17"/>
        <v>0.62726762342538334</v>
      </c>
      <c r="AC24" s="3">
        <f t="shared" si="17"/>
        <v>0.64732449863390518</v>
      </c>
    </row>
    <row r="25" spans="1:30" s="3" customFormat="1" x14ac:dyDescent="0.2">
      <c r="A25" s="3" t="s">
        <v>13</v>
      </c>
      <c r="B25" s="3">
        <f t="shared" ref="B25:O25" si="18">+B16/B9</f>
        <v>0.27341085271317828</v>
      </c>
      <c r="C25" s="3">
        <f t="shared" si="18"/>
        <v>0.28058176100628929</v>
      </c>
      <c r="D25" s="3">
        <f t="shared" si="18"/>
        <v>0.2872613946240748</v>
      </c>
      <c r="E25" s="3">
        <f t="shared" si="18"/>
        <v>0.26751640970844148</v>
      </c>
      <c r="F25" s="3">
        <f t="shared" si="18"/>
        <v>0.26474471830985913</v>
      </c>
      <c r="G25" s="3">
        <f t="shared" si="18"/>
        <v>0.26530311948204827</v>
      </c>
      <c r="H25" s="3">
        <f t="shared" si="18"/>
        <v>0.28158671333470592</v>
      </c>
      <c r="I25" s="3">
        <f t="shared" si="18"/>
        <v>0.29770440044728014</v>
      </c>
      <c r="J25" s="3">
        <f t="shared" si="18"/>
        <v>0.30447232069811836</v>
      </c>
      <c r="K25" s="3">
        <f t="shared" si="18"/>
        <v>0.24814322570557423</v>
      </c>
      <c r="L25" s="3">
        <f t="shared" si="18"/>
        <v>0.23854511100614076</v>
      </c>
      <c r="M25" s="3">
        <f t="shared" si="18"/>
        <v>0.21976249816742413</v>
      </c>
      <c r="N25" s="3">
        <f t="shared" si="18"/>
        <v>0.23755508995014812</v>
      </c>
      <c r="O25" s="3">
        <f t="shared" si="18"/>
        <v>0.24215567150310915</v>
      </c>
      <c r="S25" s="3">
        <f t="shared" ref="S25:AC25" si="19">+S16/S9</f>
        <v>0.21293114420262185</v>
      </c>
      <c r="T25" s="3">
        <f t="shared" si="19"/>
        <v>0.23622383596753524</v>
      </c>
      <c r="U25" s="3">
        <f t="shared" si="19"/>
        <v>0.26866611164131826</v>
      </c>
      <c r="V25" s="3">
        <f t="shared" si="19"/>
        <v>0.27055515050515572</v>
      </c>
      <c r="W25" s="3">
        <f t="shared" si="19"/>
        <v>0.26126089600648694</v>
      </c>
      <c r="X25" s="3">
        <f t="shared" si="19"/>
        <v>0.28304176942046855</v>
      </c>
      <c r="Y25" s="3">
        <f t="shared" si="19"/>
        <v>0.28887852173383904</v>
      </c>
      <c r="Z25" s="3">
        <f t="shared" si="19"/>
        <v>0.27969810108796017</v>
      </c>
      <c r="AA25" s="3">
        <f t="shared" si="19"/>
        <v>0.2771301666117113</v>
      </c>
      <c r="AB25" s="3">
        <f t="shared" si="19"/>
        <v>0.2779746657777466</v>
      </c>
      <c r="AC25" s="3">
        <f t="shared" si="19"/>
        <v>0.25403787892868429</v>
      </c>
    </row>
    <row r="26" spans="1:30" s="3" customFormat="1" x14ac:dyDescent="0.2">
      <c r="A26" s="3" t="s">
        <v>14</v>
      </c>
      <c r="B26" s="3">
        <f t="shared" ref="B26:O26" si="20">+B20/B9</f>
        <v>0.22341085271317829</v>
      </c>
      <c r="C26" s="3">
        <f t="shared" si="20"/>
        <v>0.23286163522012579</v>
      </c>
      <c r="D26" s="3">
        <f t="shared" si="20"/>
        <v>0.23022984028048304</v>
      </c>
      <c r="E26" s="3">
        <f t="shared" si="20"/>
        <v>0.22439322240879256</v>
      </c>
      <c r="F26" s="3">
        <f t="shared" si="20"/>
        <v>0.21075410798122066</v>
      </c>
      <c r="G26" s="3">
        <f t="shared" si="20"/>
        <v>0.22630959387875221</v>
      </c>
      <c r="H26" s="3">
        <f t="shared" si="20"/>
        <v>0.24095806739413905</v>
      </c>
      <c r="I26" s="3">
        <f t="shared" si="20"/>
        <v>0.27718213510491352</v>
      </c>
      <c r="J26" s="3">
        <f t="shared" si="20"/>
        <v>0.26663485137714754</v>
      </c>
      <c r="K26" s="3">
        <f t="shared" si="20"/>
        <v>0.22289109530138379</v>
      </c>
      <c r="L26" s="3">
        <f t="shared" si="20"/>
        <v>0.21532042198079043</v>
      </c>
      <c r="M26" s="3">
        <f t="shared" si="20"/>
        <v>0.19176073889459025</v>
      </c>
      <c r="N26" s="3">
        <f t="shared" si="20"/>
        <v>0.26009681381403077</v>
      </c>
      <c r="O26" s="3">
        <f t="shared" si="20"/>
        <v>0.19748409691944821</v>
      </c>
      <c r="S26" s="3">
        <f t="shared" ref="S26:AC26" si="21">+S20/S9</f>
        <v>0.17612744474141953</v>
      </c>
      <c r="T26" s="3">
        <f t="shared" si="21"/>
        <v>0.19519537845039767</v>
      </c>
      <c r="U26" s="3">
        <f t="shared" si="21"/>
        <v>0.23105975998537981</v>
      </c>
      <c r="V26" s="3">
        <f t="shared" si="21"/>
        <v>0.22470575981668575</v>
      </c>
      <c r="W26" s="3">
        <f t="shared" si="21"/>
        <v>1.0622339347253193E-2</v>
      </c>
      <c r="X26" s="3">
        <f t="shared" si="21"/>
        <v>0.23485665844636253</v>
      </c>
      <c r="Y26" s="3">
        <f t="shared" si="21"/>
        <v>0.23977201273807833</v>
      </c>
      <c r="Z26" s="3">
        <f t="shared" si="21"/>
        <v>0.22977638604520453</v>
      </c>
      <c r="AA26" s="3">
        <f t="shared" si="21"/>
        <v>0.22768974145120935</v>
      </c>
      <c r="AB26" s="3">
        <f t="shared" si="21"/>
        <v>0.23990315449664901</v>
      </c>
      <c r="AC26" s="3">
        <f t="shared" si="21"/>
        <v>0.22513614482463803</v>
      </c>
    </row>
    <row r="27" spans="1:30" s="3" customFormat="1" x14ac:dyDescent="0.2">
      <c r="A27" s="3" t="s">
        <v>15</v>
      </c>
      <c r="B27" s="3">
        <f t="shared" ref="B27:O27" si="22">+B19/B18</f>
        <v>0.19022197246417533</v>
      </c>
      <c r="C27" s="3">
        <f t="shared" si="22"/>
        <v>0.17538975501113585</v>
      </c>
      <c r="D27" s="3">
        <f t="shared" si="22"/>
        <v>0.2039331896551724</v>
      </c>
      <c r="E27" s="3">
        <f t="shared" si="22"/>
        <v>0.1697260660830274</v>
      </c>
      <c r="F27" s="3">
        <f t="shared" si="22"/>
        <v>0.21886895051658509</v>
      </c>
      <c r="G27" s="3">
        <f t="shared" si="22"/>
        <v>0.17267348036578806</v>
      </c>
      <c r="H27" s="3">
        <f t="shared" si="22"/>
        <v>0.17504699248120301</v>
      </c>
      <c r="I27" s="3">
        <f t="shared" si="22"/>
        <v>0.10852549185529935</v>
      </c>
      <c r="J27" s="3">
        <f t="shared" si="22"/>
        <v>0.17051961823966066</v>
      </c>
      <c r="K27" s="3">
        <f t="shared" si="22"/>
        <v>0.15600947306098284</v>
      </c>
      <c r="L27" s="3">
        <f t="shared" si="22"/>
        <v>0.11316472114137484</v>
      </c>
      <c r="M27" s="3">
        <f t="shared" si="22"/>
        <v>8.2105263157894737E-2</v>
      </c>
      <c r="N27" s="3">
        <f t="shared" si="22"/>
        <v>-0.14068441064638784</v>
      </c>
      <c r="O27" s="3">
        <f t="shared" si="22"/>
        <v>0.14245810055865921</v>
      </c>
      <c r="S27" s="3">
        <f t="shared" ref="S27:AC27" si="23">+S19/S18</f>
        <v>0.18317757009345795</v>
      </c>
      <c r="T27" s="3">
        <f t="shared" si="23"/>
        <v>0.18788083953960732</v>
      </c>
      <c r="U27" s="3">
        <f t="shared" si="23"/>
        <v>0.16084070796460176</v>
      </c>
      <c r="V27" s="3">
        <f t="shared" si="23"/>
        <v>0.19888600074266616</v>
      </c>
      <c r="W27" s="3">
        <f t="shared" si="23"/>
        <v>0.9610495800193265</v>
      </c>
      <c r="X27" s="3">
        <f t="shared" si="23"/>
        <v>0.19484808454425362</v>
      </c>
      <c r="Y27" s="3">
        <f t="shared" si="23"/>
        <v>0.18906496535638334</v>
      </c>
      <c r="Z27" s="3">
        <f t="shared" si="23"/>
        <v>0.18919110355574445</v>
      </c>
      <c r="AA27" s="3">
        <f t="shared" si="23"/>
        <v>0.18501805054151624</v>
      </c>
      <c r="AB27" s="3">
        <f t="shared" si="23"/>
        <v>0.16515049758837536</v>
      </c>
      <c r="AC27" s="3">
        <f t="shared" si="23"/>
        <v>0.13645112996364156</v>
      </c>
    </row>
    <row r="28" spans="1:30" s="3" customFormat="1" x14ac:dyDescent="0.2"/>
    <row r="29" spans="1:30" s="8" customFormat="1" x14ac:dyDescent="0.2">
      <c r="A29" s="8" t="s">
        <v>16</v>
      </c>
      <c r="F29" s="8">
        <f t="shared" ref="F29:O29" si="24">+F9/B9-1</f>
        <v>5.6744186046511658E-2</v>
      </c>
      <c r="G29" s="8">
        <f t="shared" si="24"/>
        <v>6.8553459119496951E-2</v>
      </c>
      <c r="H29" s="8">
        <f t="shared" si="24"/>
        <v>0.13525516166731588</v>
      </c>
      <c r="I29" s="8">
        <f t="shared" si="24"/>
        <v>0.16035719737444665</v>
      </c>
      <c r="J29" s="8">
        <f t="shared" si="24"/>
        <v>7.5997652582159514E-2</v>
      </c>
      <c r="K29" s="8">
        <f t="shared" si="24"/>
        <v>-5.8931724543849318E-2</v>
      </c>
      <c r="L29" s="8">
        <f t="shared" si="24"/>
        <v>-0.12826847848466127</v>
      </c>
      <c r="M29" s="8">
        <f t="shared" si="24"/>
        <v>-0.10267710320331513</v>
      </c>
      <c r="N29" s="8">
        <f t="shared" si="24"/>
        <v>-5.6381238069266426E-2</v>
      </c>
      <c r="O29" s="8">
        <f t="shared" si="24"/>
        <v>9.3815964349933445E-2</v>
      </c>
      <c r="S29" s="8" t="e">
        <f t="shared" ref="S29:AB29" si="25">+S9/R9-1</f>
        <v>#DIV/0!</v>
      </c>
      <c r="T29" s="8">
        <f t="shared" si="25"/>
        <v>4.2828051419116608E-2</v>
      </c>
      <c r="U29" s="8">
        <f t="shared" si="25"/>
        <v>1.749354162852601E-3</v>
      </c>
      <c r="V29" s="8">
        <f t="shared" si="25"/>
        <v>-2.5219810343777294E-2</v>
      </c>
      <c r="W29" s="8">
        <f t="shared" si="25"/>
        <v>2.7601291532131977E-2</v>
      </c>
      <c r="X29" s="8">
        <f t="shared" si="25"/>
        <v>5.2179201297384958E-2</v>
      </c>
      <c r="Y29" s="8">
        <f t="shared" si="25"/>
        <v>-5.0150277435265123E-2</v>
      </c>
      <c r="Z29" s="8">
        <f t="shared" si="25"/>
        <v>1.0486602705827464E-2</v>
      </c>
      <c r="AA29" s="8">
        <f t="shared" si="25"/>
        <v>3.490706170460478E-2</v>
      </c>
      <c r="AB29" s="8">
        <f t="shared" si="25"/>
        <v>0.10553368116841555</v>
      </c>
      <c r="AC29" s="8">
        <f>+AC9/AB9-1</f>
        <v>-5.6054598406961698E-2</v>
      </c>
      <c r="AD29" s="8">
        <f>+AD9/AC9-1</f>
        <v>5.198594873891782E-2</v>
      </c>
    </row>
    <row r="31" spans="1:30" x14ac:dyDescent="0.2">
      <c r="A31" s="1" t="s">
        <v>71</v>
      </c>
      <c r="O31" s="1">
        <f>+O32-O41</f>
        <v>-13316</v>
      </c>
      <c r="AC31" s="1">
        <f>+AC32-AC41</f>
        <v>-13316</v>
      </c>
    </row>
    <row r="32" spans="1:30" x14ac:dyDescent="0.2">
      <c r="A32" s="1" t="s">
        <v>19</v>
      </c>
      <c r="O32" s="1">
        <f>9065+9606</f>
        <v>18671</v>
      </c>
      <c r="AC32" s="1">
        <f>9065+9606</f>
        <v>18671</v>
      </c>
    </row>
    <row r="33" spans="1:29" x14ac:dyDescent="0.2">
      <c r="A33" s="1" t="s">
        <v>72</v>
      </c>
      <c r="O33" s="1">
        <f>4457+3123+3411</f>
        <v>10991</v>
      </c>
      <c r="AC33" s="1">
        <f>4457+3123+3411</f>
        <v>10991</v>
      </c>
    </row>
    <row r="34" spans="1:29" x14ac:dyDescent="0.2">
      <c r="A34" s="1" t="s">
        <v>73</v>
      </c>
      <c r="O34" s="1">
        <v>3143</v>
      </c>
      <c r="AC34" s="1">
        <v>3143</v>
      </c>
    </row>
    <row r="35" spans="1:29" x14ac:dyDescent="0.2">
      <c r="A35" s="1" t="s">
        <v>79</v>
      </c>
      <c r="O35" s="1">
        <v>6358</v>
      </c>
      <c r="AC35" s="1">
        <v>6358</v>
      </c>
    </row>
    <row r="36" spans="1:29" x14ac:dyDescent="0.2">
      <c r="A36" s="1" t="s">
        <v>75</v>
      </c>
      <c r="O36" s="1">
        <v>2082</v>
      </c>
      <c r="AC36" s="1">
        <v>2082</v>
      </c>
    </row>
    <row r="37" spans="1:29" x14ac:dyDescent="0.2">
      <c r="A37" s="1" t="s">
        <v>76</v>
      </c>
      <c r="O37" s="1">
        <f>58774+10744</f>
        <v>69518</v>
      </c>
      <c r="AC37" s="1">
        <f>58774+10744</f>
        <v>69518</v>
      </c>
    </row>
    <row r="38" spans="1:29" x14ac:dyDescent="0.2">
      <c r="A38" s="1" t="s">
        <v>77</v>
      </c>
      <c r="O38" s="1">
        <v>6514</v>
      </c>
      <c r="AC38" s="1">
        <v>6514</v>
      </c>
    </row>
    <row r="39" spans="1:29" x14ac:dyDescent="0.2">
      <c r="A39" s="1" t="s">
        <v>78</v>
      </c>
      <c r="O39" s="1">
        <v>6056</v>
      </c>
      <c r="AC39" s="1">
        <v>6056</v>
      </c>
    </row>
    <row r="40" spans="1:29" s="6" customFormat="1" x14ac:dyDescent="0.2">
      <c r="A40" s="6" t="s">
        <v>80</v>
      </c>
      <c r="O40" s="6">
        <f>+SUM(O32:O39)</f>
        <v>123333</v>
      </c>
      <c r="AC40" s="6">
        <f>+SUM(AC32:AC39)</f>
        <v>123333</v>
      </c>
    </row>
    <row r="41" spans="1:29" x14ac:dyDescent="0.2">
      <c r="A41" s="1" t="s">
        <v>20</v>
      </c>
      <c r="O41" s="1">
        <f>12364+19623</f>
        <v>31987</v>
      </c>
      <c r="AC41" s="1">
        <f>12364+19623</f>
        <v>31987</v>
      </c>
    </row>
    <row r="42" spans="1:29" x14ac:dyDescent="0.2">
      <c r="A42" s="1" t="s">
        <v>88</v>
      </c>
      <c r="O42" s="1">
        <v>1996</v>
      </c>
      <c r="AC42" s="1">
        <v>1996</v>
      </c>
    </row>
    <row r="43" spans="1:29" x14ac:dyDescent="0.2">
      <c r="A43" s="1" t="s">
        <v>8</v>
      </c>
      <c r="O43" s="1">
        <f>2096+3367</f>
        <v>5463</v>
      </c>
      <c r="AC43" s="1">
        <f>2096+3367</f>
        <v>5463</v>
      </c>
    </row>
    <row r="44" spans="1:29" x14ac:dyDescent="0.2">
      <c r="A44" s="1" t="s">
        <v>81</v>
      </c>
      <c r="O44" s="1">
        <v>2861</v>
      </c>
      <c r="AC44" s="1">
        <v>2861</v>
      </c>
    </row>
    <row r="45" spans="1:29" x14ac:dyDescent="0.2">
      <c r="A45" s="1" t="s">
        <v>82</v>
      </c>
      <c r="O45" s="1">
        <f>15615+11887</f>
        <v>27502</v>
      </c>
      <c r="AC45" s="1">
        <f>15615+11887</f>
        <v>27502</v>
      </c>
    </row>
    <row r="46" spans="1:29" x14ac:dyDescent="0.2">
      <c r="A46" s="1" t="s">
        <v>83</v>
      </c>
      <c r="O46" s="1">
        <v>5610</v>
      </c>
      <c r="AC46" s="1">
        <v>5610</v>
      </c>
    </row>
    <row r="47" spans="1:29" x14ac:dyDescent="0.2">
      <c r="A47" s="1" t="s">
        <v>84</v>
      </c>
      <c r="O47" s="1">
        <v>2637</v>
      </c>
      <c r="AC47" s="1">
        <v>2637</v>
      </c>
    </row>
    <row r="48" spans="1:29" s="6" customFormat="1" x14ac:dyDescent="0.2">
      <c r="A48" s="6" t="s">
        <v>85</v>
      </c>
      <c r="O48" s="6">
        <f>+SUM(O41:O47)</f>
        <v>78056</v>
      </c>
      <c r="AC48" s="6">
        <f>+SUM(AC41:AC47)</f>
        <v>78056</v>
      </c>
    </row>
    <row r="49" spans="1:29" x14ac:dyDescent="0.2">
      <c r="A49" s="1" t="s">
        <v>86</v>
      </c>
      <c r="O49" s="1">
        <v>45277</v>
      </c>
      <c r="AC49" s="1">
        <v>45277</v>
      </c>
    </row>
    <row r="50" spans="1:29" x14ac:dyDescent="0.2">
      <c r="A50" s="1" t="s">
        <v>87</v>
      </c>
      <c r="O50" s="1">
        <f>+O48+O49</f>
        <v>123333</v>
      </c>
      <c r="AC50" s="1">
        <f>+AC48+AC49</f>
        <v>123333</v>
      </c>
    </row>
    <row r="52" spans="1:29" x14ac:dyDescent="0.2">
      <c r="A52" s="1" t="s">
        <v>89</v>
      </c>
      <c r="O52" s="1">
        <f>+SUM(L20:O20)</f>
        <v>11714</v>
      </c>
      <c r="AC52" s="1">
        <f>+AC20</f>
        <v>12113</v>
      </c>
    </row>
    <row r="53" spans="1:29" s="3" customFormat="1" x14ac:dyDescent="0.2">
      <c r="A53" s="3" t="s">
        <v>90</v>
      </c>
      <c r="O53" s="3">
        <f>+O52/(O33+O34+O35+O36+O38+O39)</f>
        <v>0.33331436376052809</v>
      </c>
      <c r="AC53" s="3">
        <f>+AC52/(AC33+AC34+AC35+AC36+AC38+AC39)</f>
        <v>0.34466765308445252</v>
      </c>
    </row>
    <row r="55" spans="1:29" x14ac:dyDescent="0.2">
      <c r="A55" s="1" t="s">
        <v>91</v>
      </c>
      <c r="J55" s="1">
        <f t="shared" ref="J55:O55" si="26">+J20</f>
        <v>3911</v>
      </c>
      <c r="K55" s="1">
        <f t="shared" si="26"/>
        <v>2851</v>
      </c>
      <c r="L55" s="1">
        <f t="shared" si="26"/>
        <v>2735</v>
      </c>
      <c r="M55" s="1">
        <f t="shared" si="26"/>
        <v>2616</v>
      </c>
      <c r="N55" s="1">
        <f t="shared" si="26"/>
        <v>3600</v>
      </c>
      <c r="O55" s="1">
        <f t="shared" si="26"/>
        <v>2763</v>
      </c>
      <c r="AC55" s="1">
        <f>+AC20</f>
        <v>12113</v>
      </c>
    </row>
    <row r="56" spans="1:29" x14ac:dyDescent="0.2">
      <c r="A56" s="1" t="s">
        <v>92</v>
      </c>
      <c r="J56" s="1">
        <v>3638</v>
      </c>
      <c r="K56" s="1">
        <f>6272-J56</f>
        <v>2634</v>
      </c>
      <c r="L56" s="1">
        <f>8158-SUM(J56:K56)</f>
        <v>1886</v>
      </c>
      <c r="M56" s="1">
        <f>+AC56-SUM(J56:L56)</f>
        <v>2162</v>
      </c>
      <c r="N56" s="1">
        <v>2711</v>
      </c>
      <c r="O56" s="1">
        <f>5139-N56</f>
        <v>2428</v>
      </c>
      <c r="AC56" s="1">
        <v>10320</v>
      </c>
    </row>
    <row r="57" spans="1:29" x14ac:dyDescent="0.2">
      <c r="A57" s="1" t="s">
        <v>93</v>
      </c>
      <c r="J57" s="1">
        <v>401</v>
      </c>
      <c r="K57" s="1">
        <f>823-J57</f>
        <v>422</v>
      </c>
      <c r="L57" s="1">
        <f>1684-SUM(J57:K57)</f>
        <v>861</v>
      </c>
      <c r="M57" s="1">
        <f t="shared" ref="M57:M62" si="27">+AC57-SUM(J57:L57)</f>
        <v>823</v>
      </c>
      <c r="N57" s="1">
        <v>789</v>
      </c>
      <c r="O57" s="1">
        <f>1550-N57</f>
        <v>761</v>
      </c>
      <c r="AC57" s="1">
        <v>2507</v>
      </c>
    </row>
    <row r="58" spans="1:29" x14ac:dyDescent="0.2">
      <c r="A58" s="1" t="s">
        <v>94</v>
      </c>
      <c r="J58" s="1">
        <v>661</v>
      </c>
      <c r="K58" s="1">
        <f>1463-J58</f>
        <v>802</v>
      </c>
      <c r="L58" s="1">
        <f>2274-SUM(J58:K58)</f>
        <v>811</v>
      </c>
      <c r="M58" s="1">
        <f t="shared" si="27"/>
        <v>800</v>
      </c>
      <c r="N58" s="1">
        <v>827</v>
      </c>
      <c r="O58" s="1">
        <f>1748-N58</f>
        <v>921</v>
      </c>
      <c r="AC58" s="1">
        <v>3074</v>
      </c>
    </row>
    <row r="59" spans="1:29" x14ac:dyDescent="0.2">
      <c r="A59" s="1" t="s">
        <v>95</v>
      </c>
      <c r="J59" s="1">
        <v>4</v>
      </c>
      <c r="K59" s="1">
        <f>12-J59</f>
        <v>8</v>
      </c>
      <c r="L59" s="1">
        <f>19-SUM(J59:K59)</f>
        <v>7</v>
      </c>
      <c r="M59" s="1">
        <f t="shared" si="27"/>
        <v>15</v>
      </c>
      <c r="N59" s="1">
        <v>-1</v>
      </c>
      <c r="O59" s="1">
        <f>7-N59</f>
        <v>8</v>
      </c>
      <c r="AC59" s="1">
        <v>34</v>
      </c>
    </row>
    <row r="60" spans="1:29" x14ac:dyDescent="0.2">
      <c r="A60" s="1" t="s">
        <v>77</v>
      </c>
      <c r="J60" s="1">
        <v>-513</v>
      </c>
      <c r="K60" s="1">
        <f>-816-J60</f>
        <v>-303</v>
      </c>
      <c r="L60" s="1">
        <f>-245-SUM(J60:K60)</f>
        <v>571</v>
      </c>
      <c r="M60" s="1">
        <f t="shared" si="27"/>
        <v>-727</v>
      </c>
      <c r="N60" s="1">
        <v>-281</v>
      </c>
      <c r="O60" s="1">
        <f>-382-N60</f>
        <v>-101</v>
      </c>
      <c r="AC60" s="1">
        <v>-972</v>
      </c>
    </row>
    <row r="61" spans="1:29" x14ac:dyDescent="0.2">
      <c r="A61" s="1" t="s">
        <v>99</v>
      </c>
      <c r="J61" s="1">
        <v>89</v>
      </c>
      <c r="K61" s="1">
        <f>205-J61</f>
        <v>116</v>
      </c>
      <c r="L61" s="1">
        <f>224-SUM(J61:K61)</f>
        <v>19</v>
      </c>
      <c r="M61" s="1">
        <f t="shared" si="27"/>
        <v>-9</v>
      </c>
      <c r="N61" s="1">
        <v>-60</v>
      </c>
      <c r="O61" s="1">
        <f>-5-N61</f>
        <v>55</v>
      </c>
      <c r="AC61" s="1">
        <v>215</v>
      </c>
    </row>
    <row r="62" spans="1:29" x14ac:dyDescent="0.2">
      <c r="A62" s="1" t="s">
        <v>97</v>
      </c>
      <c r="J62" s="1">
        <f>979+307+25-290-235-1773-908+259-273</f>
        <v>-1909</v>
      </c>
      <c r="K62" s="1">
        <f>941+442-33-403-476-4656-763+293-125-J62</f>
        <v>-2871</v>
      </c>
      <c r="L62" s="1">
        <f>1286+530+92-382-300-5223-1092+211-86-SUM(J62:K62)</f>
        <v>-184</v>
      </c>
      <c r="M62" s="1">
        <f t="shared" si="27"/>
        <v>666</v>
      </c>
      <c r="N62" s="1">
        <f>2227+229+173-190-269-806-754-971+37</f>
        <v>-324</v>
      </c>
      <c r="O62" s="1">
        <f>969+441+330-427-359-2285-293-555+24-N62</f>
        <v>-1831</v>
      </c>
      <c r="AC62" s="1">
        <f>-289+275+76-671-90-4539-696+1220+416</f>
        <v>-4298</v>
      </c>
    </row>
    <row r="63" spans="1:29" s="6" customFormat="1" x14ac:dyDescent="0.2">
      <c r="A63" s="6" t="s">
        <v>98</v>
      </c>
      <c r="J63" s="6">
        <f t="shared" ref="J63:O63" si="28">+SUM(J56:J62)</f>
        <v>2371</v>
      </c>
      <c r="K63" s="6">
        <f t="shared" si="28"/>
        <v>808</v>
      </c>
      <c r="L63" s="6">
        <f t="shared" si="28"/>
        <v>3971</v>
      </c>
      <c r="M63" s="6">
        <f t="shared" si="28"/>
        <v>3730</v>
      </c>
      <c r="N63" s="6">
        <f t="shared" si="28"/>
        <v>3661</v>
      </c>
      <c r="O63" s="6">
        <f t="shared" si="28"/>
        <v>2241</v>
      </c>
      <c r="AC63" s="6">
        <f>+SUM(AC56:AC62)</f>
        <v>10880</v>
      </c>
    </row>
    <row r="65" spans="1:29" x14ac:dyDescent="0.2">
      <c r="A65" s="1" t="s">
        <v>96</v>
      </c>
      <c r="J65" s="1">
        <f>-1850+1280+2497-13+47</f>
        <v>1961</v>
      </c>
      <c r="K65" s="1">
        <f>-2253+2484+4044-50+123-J65</f>
        <v>2387</v>
      </c>
      <c r="L65" s="1">
        <f>-3044+3874+5804-82+146-SUM(J65:K65)</f>
        <v>2350</v>
      </c>
      <c r="M65" s="1">
        <f t="shared" ref="M65:M68" si="29">+AC65-SUM(J65:L65)</f>
        <v>-507</v>
      </c>
      <c r="N65" s="1">
        <f>-1775+1490+164-42+77</f>
        <v>-86</v>
      </c>
      <c r="O65" s="1">
        <f>-2261+1791+2703-137+94-N65</f>
        <v>2276</v>
      </c>
      <c r="AC65" s="1">
        <f>-4230+4136+6367-284+202</f>
        <v>6191</v>
      </c>
    </row>
    <row r="66" spans="1:29" x14ac:dyDescent="0.2">
      <c r="A66" s="1" t="s">
        <v>100</v>
      </c>
      <c r="J66" s="1">
        <v>-876</v>
      </c>
      <c r="K66" s="1">
        <f>-878-J66</f>
        <v>-2</v>
      </c>
      <c r="L66" s="1">
        <f>-25874-SUM(J66:K66)</f>
        <v>-24996</v>
      </c>
      <c r="M66" s="1">
        <f t="shared" si="29"/>
        <v>-120</v>
      </c>
      <c r="N66" s="1">
        <v>-217</v>
      </c>
      <c r="O66" s="1">
        <f>-257-N66</f>
        <v>-40</v>
      </c>
      <c r="AC66" s="1">
        <v>-25994</v>
      </c>
    </row>
    <row r="67" spans="1:29" x14ac:dyDescent="0.2">
      <c r="A67" s="1" t="s">
        <v>101</v>
      </c>
      <c r="J67" s="1">
        <v>-134</v>
      </c>
      <c r="K67" s="1">
        <f>-304-J67</f>
        <v>-170</v>
      </c>
      <c r="L67" s="1">
        <f>-472-SUM(J67:K67)</f>
        <v>-168</v>
      </c>
      <c r="M67" s="1">
        <f t="shared" si="29"/>
        <v>-198</v>
      </c>
      <c r="N67" s="1">
        <v>-217</v>
      </c>
      <c r="O67" s="1">
        <f>-427-N67</f>
        <v>-210</v>
      </c>
      <c r="AC67" s="1">
        <v>-670</v>
      </c>
    </row>
    <row r="68" spans="1:29" x14ac:dyDescent="0.2">
      <c r="A68" s="1" t="s">
        <v>74</v>
      </c>
      <c r="J68" s="1">
        <v>1</v>
      </c>
      <c r="K68" s="1">
        <f>-1-J68</f>
        <v>-2</v>
      </c>
      <c r="L68" s="1">
        <f>-2-SUM(J68:K68)</f>
        <v>-1</v>
      </c>
      <c r="M68" s="1">
        <f t="shared" si="29"/>
        <v>-3</v>
      </c>
      <c r="N68" s="1">
        <v>-1</v>
      </c>
      <c r="O68" s="1">
        <f>-5-N68</f>
        <v>-4</v>
      </c>
      <c r="AC68" s="1">
        <v>-5</v>
      </c>
    </row>
    <row r="69" spans="1:29" x14ac:dyDescent="0.2">
      <c r="A69" s="1" t="s">
        <v>102</v>
      </c>
      <c r="J69" s="1">
        <f t="shared" ref="J69:O69" si="30">+SUM(J65:J68)</f>
        <v>952</v>
      </c>
      <c r="K69" s="1">
        <f t="shared" si="30"/>
        <v>2213</v>
      </c>
      <c r="L69" s="1">
        <f t="shared" si="30"/>
        <v>-22815</v>
      </c>
      <c r="M69" s="1">
        <f t="shared" si="30"/>
        <v>-828</v>
      </c>
      <c r="N69" s="1">
        <f t="shared" si="30"/>
        <v>-521</v>
      </c>
      <c r="O69" s="1">
        <f t="shared" si="30"/>
        <v>2022</v>
      </c>
      <c r="AC69" s="1">
        <f>+SUM(AC65:AC68)</f>
        <v>-20478</v>
      </c>
    </row>
    <row r="71" spans="1:29" x14ac:dyDescent="0.2">
      <c r="A71" s="1" t="s">
        <v>110</v>
      </c>
      <c r="J71" s="1">
        <v>0</v>
      </c>
      <c r="K71" s="1">
        <f>349-J71</f>
        <v>349</v>
      </c>
      <c r="L71" s="1">
        <f>347-SUM(J71:K71)</f>
        <v>-2</v>
      </c>
      <c r="M71" s="1">
        <f t="shared" ref="M71:M78" si="31">+AC71-SUM(J71:L71)</f>
        <v>367</v>
      </c>
      <c r="N71" s="1">
        <v>0</v>
      </c>
      <c r="O71" s="1">
        <v>320</v>
      </c>
      <c r="AC71" s="1">
        <v>714</v>
      </c>
    </row>
    <row r="72" spans="1:29" x14ac:dyDescent="0.2">
      <c r="A72" s="1" t="s">
        <v>103</v>
      </c>
      <c r="J72" s="1">
        <v>-1300</v>
      </c>
      <c r="K72" s="1">
        <f>-2504-J72</f>
        <v>-1204</v>
      </c>
      <c r="L72" s="1">
        <f>-3772-SUM(J72:K72)</f>
        <v>-1268</v>
      </c>
      <c r="M72" s="1">
        <f t="shared" si="31"/>
        <v>-2015</v>
      </c>
      <c r="N72" s="1">
        <v>-2003</v>
      </c>
      <c r="O72" s="1">
        <f>-3243-N72</f>
        <v>-1240</v>
      </c>
      <c r="AC72" s="1">
        <v>-5787</v>
      </c>
    </row>
    <row r="73" spans="1:29" x14ac:dyDescent="0.2">
      <c r="A73" s="1" t="s">
        <v>104</v>
      </c>
      <c r="J73" s="1">
        <v>-153</v>
      </c>
      <c r="K73" s="1">
        <f>-581-J73</f>
        <v>-428</v>
      </c>
      <c r="L73" s="1">
        <f>-765-SUM(J73:K73)</f>
        <v>-184</v>
      </c>
      <c r="M73" s="1">
        <f t="shared" si="31"/>
        <v>-227</v>
      </c>
      <c r="N73" s="1">
        <v>-165</v>
      </c>
      <c r="O73" s="1">
        <f>-655-N73</f>
        <v>-490</v>
      </c>
      <c r="AC73" s="1">
        <v>-992</v>
      </c>
    </row>
    <row r="74" spans="1:29" x14ac:dyDescent="0.2">
      <c r="A74" s="1" t="s">
        <v>20</v>
      </c>
      <c r="J74" s="1">
        <v>-750</v>
      </c>
      <c r="K74" s="1">
        <f>1398+2537-750-J74</f>
        <v>3935</v>
      </c>
      <c r="L74" s="1">
        <f>1547+24159-2195-3140-SUM(J74:K74)</f>
        <v>17186</v>
      </c>
      <c r="M74" s="1">
        <f t="shared" si="31"/>
        <v>-1041</v>
      </c>
      <c r="N74" s="1">
        <f>68+5732-4821</f>
        <v>979</v>
      </c>
      <c r="O74" s="1">
        <f>1012+10406-11382-N74</f>
        <v>-943</v>
      </c>
      <c r="AC74" s="1">
        <f>478+31818-9826-3140</f>
        <v>19330</v>
      </c>
    </row>
    <row r="75" spans="1:29" x14ac:dyDescent="0.2">
      <c r="A75" s="1" t="s">
        <v>105</v>
      </c>
      <c r="J75" s="1">
        <v>-1580</v>
      </c>
      <c r="K75" s="1">
        <f>-3163-J75</f>
        <v>-1583</v>
      </c>
      <c r="L75" s="1">
        <f>-4778-SUM(J75:K75)</f>
        <v>-1615</v>
      </c>
      <c r="M75" s="1">
        <f t="shared" si="31"/>
        <v>-1606</v>
      </c>
      <c r="N75" s="1">
        <v>-1592</v>
      </c>
      <c r="O75" s="1">
        <f>-3185-N75</f>
        <v>-1593</v>
      </c>
      <c r="AC75" s="1">
        <v>-6384</v>
      </c>
    </row>
    <row r="76" spans="1:29" x14ac:dyDescent="0.2">
      <c r="A76" s="1" t="s">
        <v>74</v>
      </c>
      <c r="J76" s="1">
        <v>-17</v>
      </c>
      <c r="K76" s="1">
        <f>-7-J76</f>
        <v>10</v>
      </c>
      <c r="L76" s="1">
        <f>-52-SUM(J76:K76)</f>
        <v>-45</v>
      </c>
      <c r="M76" s="1">
        <f t="shared" si="31"/>
        <v>15</v>
      </c>
      <c r="N76" s="1">
        <v>-3</v>
      </c>
      <c r="O76" s="1">
        <f>-2-N76</f>
        <v>1</v>
      </c>
      <c r="AC76" s="1">
        <v>-37</v>
      </c>
    </row>
    <row r="77" spans="1:29" x14ac:dyDescent="0.2">
      <c r="A77" s="1" t="s">
        <v>106</v>
      </c>
      <c r="J77" s="1">
        <f t="shared" ref="J77:O77" si="32">+SUM(J71:J76)</f>
        <v>-3800</v>
      </c>
      <c r="K77" s="1">
        <f t="shared" si="32"/>
        <v>1079</v>
      </c>
      <c r="L77" s="1">
        <f t="shared" si="32"/>
        <v>14072</v>
      </c>
      <c r="M77" s="1">
        <f t="shared" si="32"/>
        <v>-4507</v>
      </c>
      <c r="N77" s="1">
        <f t="shared" si="32"/>
        <v>-2784</v>
      </c>
      <c r="O77" s="1">
        <f t="shared" si="32"/>
        <v>-3945</v>
      </c>
      <c r="AC77" s="1">
        <f>+SUM(AC71:AC76)</f>
        <v>6844</v>
      </c>
    </row>
    <row r="78" spans="1:29" x14ac:dyDescent="0.2">
      <c r="A78" s="1" t="s">
        <v>107</v>
      </c>
      <c r="J78" s="1">
        <v>-45</v>
      </c>
      <c r="K78" s="1">
        <f>-32-J78</f>
        <v>13</v>
      </c>
      <c r="L78" s="1">
        <f>-39-SUM(J78:K78)</f>
        <v>-7</v>
      </c>
      <c r="M78" s="1">
        <f t="shared" si="31"/>
        <v>8</v>
      </c>
      <c r="N78" s="1">
        <v>10</v>
      </c>
      <c r="O78" s="1">
        <f>-8-N78</f>
        <v>-18</v>
      </c>
      <c r="AC78" s="1">
        <v>-31</v>
      </c>
    </row>
    <row r="79" spans="1:29" x14ac:dyDescent="0.2">
      <c r="A79" s="1" t="s">
        <v>108</v>
      </c>
      <c r="J79" s="1">
        <f t="shared" ref="J79:O79" si="33">+J63+J69+J77+J78</f>
        <v>-522</v>
      </c>
      <c r="K79" s="1">
        <f t="shared" si="33"/>
        <v>4113</v>
      </c>
      <c r="L79" s="1">
        <f t="shared" si="33"/>
        <v>-4779</v>
      </c>
      <c r="M79" s="1">
        <f t="shared" si="33"/>
        <v>-1597</v>
      </c>
      <c r="N79" s="1">
        <f t="shared" si="33"/>
        <v>366</v>
      </c>
      <c r="O79" s="1">
        <f t="shared" si="33"/>
        <v>300</v>
      </c>
      <c r="AC79" s="1">
        <f>+AC63+AC69+AC77+AC78</f>
        <v>-2785</v>
      </c>
    </row>
    <row r="81" spans="1:29" s="6" customFormat="1" x14ac:dyDescent="0.2">
      <c r="A81" s="6" t="s">
        <v>109</v>
      </c>
      <c r="J81" s="6">
        <f t="shared" ref="J81:O81" si="34">+J63+J67</f>
        <v>2237</v>
      </c>
      <c r="K81" s="6">
        <f t="shared" si="34"/>
        <v>638</v>
      </c>
      <c r="L81" s="6">
        <f t="shared" si="34"/>
        <v>3803</v>
      </c>
      <c r="M81" s="6">
        <f t="shared" si="34"/>
        <v>3532</v>
      </c>
      <c r="N81" s="6">
        <f t="shared" si="34"/>
        <v>3444</v>
      </c>
      <c r="O81" s="6">
        <f t="shared" si="34"/>
        <v>2031</v>
      </c>
      <c r="AC81" s="6">
        <f>+AC63+AC67</f>
        <v>10210</v>
      </c>
    </row>
  </sheetData>
  <phoneticPr fontId="4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</dc:creator>
  <cp:lastModifiedBy>Fidel</cp:lastModifiedBy>
  <dcterms:created xsi:type="dcterms:W3CDTF">2025-04-23T12:37:54Z</dcterms:created>
  <dcterms:modified xsi:type="dcterms:W3CDTF">2025-04-23T19:55:46Z</dcterms:modified>
</cp:coreProperties>
</file>