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A4DBC77E-2547-4FBA-AD2D-74BB5F576CF4}" xr6:coauthVersionLast="47" xr6:coauthVersionMax="47" xr10:uidLastSave="{00000000-0000-0000-0000-000000000000}"/>
  <bookViews>
    <workbookView xWindow="-120" yWindow="-120" windowWidth="29040" windowHeight="15840" activeTab="1" xr2:uid="{7AA19C31-093F-4F8E-AFDD-AC4BB47C9D19}"/>
  </bookViews>
  <sheets>
    <sheet name="Main" sheetId="2" r:id="rId1"/>
    <sheet name="Model" sheetId="1" r:id="rId2"/>
    <sheet name="Geograph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AL26" i="1"/>
  <c r="U5" i="1" l="1"/>
  <c r="V9" i="1"/>
  <c r="X9" i="1"/>
  <c r="D91" i="1"/>
  <c r="D86" i="1"/>
  <c r="D81" i="1"/>
  <c r="D82" i="1" s="1"/>
  <c r="D95" i="1" s="1"/>
  <c r="D93" i="1" l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K38" i="1"/>
  <c r="K37" i="1"/>
  <c r="K36" i="1"/>
  <c r="W23" i="1"/>
  <c r="W22" i="1"/>
  <c r="W21" i="1"/>
  <c r="O18" i="1"/>
  <c r="N18" i="1"/>
  <c r="M18" i="1"/>
  <c r="L18" i="1"/>
  <c r="O16" i="1"/>
  <c r="N16" i="1"/>
  <c r="M16" i="1"/>
  <c r="L16" i="1"/>
  <c r="L36" i="1" s="1"/>
  <c r="O17" i="1"/>
  <c r="N17" i="1"/>
  <c r="M17" i="1"/>
  <c r="L17" i="1"/>
  <c r="L37" i="1" s="1"/>
  <c r="Y9" i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O38" i="1" l="1"/>
  <c r="O36" i="1"/>
  <c r="M36" i="1"/>
  <c r="N37" i="1"/>
  <c r="N36" i="1"/>
  <c r="W18" i="1"/>
  <c r="L38" i="1"/>
  <c r="M38" i="1"/>
  <c r="N38" i="1"/>
  <c r="M37" i="1"/>
  <c r="O37" i="1"/>
  <c r="W16" i="1"/>
  <c r="W17" i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X18" i="1" l="1"/>
  <c r="Y18" i="1" s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X35" i="1"/>
  <c r="L19" i="1"/>
  <c r="O19" i="1"/>
  <c r="M19" i="1" l="1"/>
  <c r="N19" i="1"/>
  <c r="X19" i="1"/>
  <c r="AD35" i="1"/>
  <c r="AF35" i="1"/>
  <c r="AB35" i="1"/>
  <c r="AI35" i="1"/>
  <c r="AH35" i="1"/>
  <c r="AJ35" i="1"/>
  <c r="Y35" i="1"/>
  <c r="AK35" i="1"/>
  <c r="AC35" i="1"/>
  <c r="AE35" i="1"/>
  <c r="AG35" i="1"/>
  <c r="Z35" i="1"/>
  <c r="AA35" i="1"/>
  <c r="Y19" i="1"/>
  <c r="Z18" i="1"/>
  <c r="AA18" i="1" l="1"/>
  <c r="Z19" i="1"/>
  <c r="AA19" i="1" l="1"/>
  <c r="AB18" i="1"/>
  <c r="AB19" i="1" l="1"/>
  <c r="AC18" i="1"/>
  <c r="AC19" i="1" l="1"/>
  <c r="AD18" i="1"/>
  <c r="AE18" i="1" l="1"/>
  <c r="AD19" i="1"/>
  <c r="AE19" i="1" l="1"/>
  <c r="AF18" i="1"/>
  <c r="AF19" i="1" l="1"/>
  <c r="AG18" i="1"/>
  <c r="AG19" i="1" l="1"/>
  <c r="AH18" i="1"/>
  <c r="AH19" i="1" l="1"/>
  <c r="AI18" i="1"/>
  <c r="AJ18" i="1" l="1"/>
  <c r="AI19" i="1"/>
  <c r="AK18" i="1" l="1"/>
  <c r="AJ19" i="1"/>
  <c r="AK19" i="1" l="1"/>
  <c r="F45" i="1" l="1"/>
  <c r="E45" i="1"/>
  <c r="D45" i="1"/>
  <c r="C45" i="1"/>
  <c r="K56" i="1"/>
  <c r="K57" i="1"/>
  <c r="K50" i="1"/>
  <c r="K42" i="1"/>
  <c r="K45" i="1" s="1"/>
  <c r="J42" i="1"/>
  <c r="J45" i="1" s="1"/>
  <c r="I42" i="1"/>
  <c r="I45" i="1" s="1"/>
  <c r="H42" i="1"/>
  <c r="H45" i="1" s="1"/>
  <c r="G42" i="1"/>
  <c r="G41" i="1" s="1"/>
  <c r="V14" i="1"/>
  <c r="U10" i="1"/>
  <c r="W35" i="1"/>
  <c r="K14" i="1"/>
  <c r="O14" i="1" s="1"/>
  <c r="M11" i="3"/>
  <c r="M10" i="3"/>
  <c r="M9" i="3"/>
  <c r="G11" i="3"/>
  <c r="G10" i="3"/>
  <c r="G9" i="3"/>
  <c r="M7" i="3"/>
  <c r="L7" i="3"/>
  <c r="G7" i="3"/>
  <c r="F7" i="3"/>
  <c r="E7" i="3"/>
  <c r="D7" i="3"/>
  <c r="C7" i="3"/>
  <c r="K9" i="1"/>
  <c r="O9" i="1" l="1"/>
  <c r="L39" i="1"/>
  <c r="O35" i="1"/>
  <c r="O15" i="1"/>
  <c r="K60" i="1"/>
  <c r="K52" i="1"/>
  <c r="K41" i="1"/>
  <c r="G45" i="1"/>
  <c r="O20" i="1" l="1"/>
  <c r="O30" i="1"/>
  <c r="AN45" i="1"/>
  <c r="V41" i="1"/>
  <c r="K61" i="1"/>
  <c r="K62" i="1" s="1"/>
  <c r="J57" i="1"/>
  <c r="J56" i="1"/>
  <c r="J50" i="1"/>
  <c r="J52" i="1" s="1"/>
  <c r="I57" i="1"/>
  <c r="I56" i="1"/>
  <c r="I50" i="1"/>
  <c r="I52" i="1" s="1"/>
  <c r="H57" i="1"/>
  <c r="H56" i="1"/>
  <c r="H50" i="1"/>
  <c r="H52" i="1" s="1"/>
  <c r="G57" i="1"/>
  <c r="G56" i="1"/>
  <c r="G50" i="1"/>
  <c r="G52" i="1" s="1"/>
  <c r="F57" i="1"/>
  <c r="F56" i="1"/>
  <c r="F50" i="1"/>
  <c r="F52" i="1" s="1"/>
  <c r="E57" i="1"/>
  <c r="E56" i="1"/>
  <c r="E50" i="1"/>
  <c r="E52" i="1" s="1"/>
  <c r="D57" i="1"/>
  <c r="D56" i="1"/>
  <c r="D50" i="1"/>
  <c r="D52" i="1" s="1"/>
  <c r="C57" i="1"/>
  <c r="C56" i="1"/>
  <c r="C50" i="1"/>
  <c r="C52" i="1" s="1"/>
  <c r="H19" i="1"/>
  <c r="H14" i="1"/>
  <c r="L14" i="1" s="1"/>
  <c r="U11" i="1"/>
  <c r="U12" i="1"/>
  <c r="U13" i="1"/>
  <c r="X28" i="1"/>
  <c r="W28" i="1"/>
  <c r="Y28" i="1" s="1"/>
  <c r="Q19" i="1"/>
  <c r="Q14" i="1"/>
  <c r="Q9" i="1"/>
  <c r="R19" i="1"/>
  <c r="R14" i="1"/>
  <c r="R9" i="1"/>
  <c r="X4" i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O24" i="1" l="1"/>
  <c r="O25" i="1" s="1"/>
  <c r="O31" i="1"/>
  <c r="L15" i="1"/>
  <c r="Z28" i="1"/>
  <c r="AB28" i="1" s="1"/>
  <c r="AA28" i="1"/>
  <c r="R35" i="1"/>
  <c r="R15" i="1"/>
  <c r="R30" i="1" s="1"/>
  <c r="Q15" i="1"/>
  <c r="L20" i="1" l="1"/>
  <c r="L30" i="1"/>
  <c r="O26" i="1"/>
  <c r="O33" i="1"/>
  <c r="Q20" i="1"/>
  <c r="Q24" i="1" s="1"/>
  <c r="Q30" i="1"/>
  <c r="AC28" i="1"/>
  <c r="AD28" i="1"/>
  <c r="R20" i="1"/>
  <c r="R24" i="1" s="1"/>
  <c r="O27" i="1" l="1"/>
  <c r="O32" i="1"/>
  <c r="L24" i="1"/>
  <c r="L31" i="1"/>
  <c r="Q31" i="1"/>
  <c r="AE28" i="1"/>
  <c r="AF28" i="1"/>
  <c r="R31" i="1"/>
  <c r="Q33" i="1"/>
  <c r="Q26" i="1"/>
  <c r="R26" i="1"/>
  <c r="R33" i="1"/>
  <c r="L25" i="1" l="1"/>
  <c r="L33" i="1" s="1"/>
  <c r="AH28" i="1"/>
  <c r="AG28" i="1"/>
  <c r="Q32" i="1"/>
  <c r="Q27" i="1"/>
  <c r="R27" i="1"/>
  <c r="R32" i="1"/>
  <c r="L26" i="1" l="1"/>
  <c r="L27" i="1" s="1"/>
  <c r="L32" i="1"/>
  <c r="AI28" i="1"/>
  <c r="AK28" i="1" s="1"/>
  <c r="AJ28" i="1"/>
  <c r="K15" i="1" l="1"/>
  <c r="K30" i="1" s="1"/>
  <c r="U8" i="1"/>
  <c r="U7" i="1"/>
  <c r="U6" i="1"/>
  <c r="C14" i="1"/>
  <c r="T14" i="1"/>
  <c r="T9" i="1"/>
  <c r="S9" i="1"/>
  <c r="S14" i="1"/>
  <c r="U9" i="1" l="1"/>
  <c r="S35" i="1"/>
  <c r="K19" i="1"/>
  <c r="K20" i="1" s="1"/>
  <c r="K31" i="1" s="1"/>
  <c r="U14" i="1"/>
  <c r="K8" i="2"/>
  <c r="K11" i="2" s="1"/>
  <c r="D41" i="1"/>
  <c r="E41" i="1"/>
  <c r="F41" i="1"/>
  <c r="H41" i="1"/>
  <c r="I41" i="1"/>
  <c r="J41" i="1"/>
  <c r="C41" i="1"/>
  <c r="V15" i="1" l="1"/>
  <c r="V35" i="1"/>
  <c r="K24" i="1"/>
  <c r="F60" i="1"/>
  <c r="F61" i="1" s="1"/>
  <c r="F62" i="1" s="1"/>
  <c r="J60" i="1"/>
  <c r="J61" i="1" s="1"/>
  <c r="C60" i="1"/>
  <c r="C61" i="1" s="1"/>
  <c r="C62" i="1" s="1"/>
  <c r="I60" i="1"/>
  <c r="I61" i="1" s="1"/>
  <c r="I62" i="1" s="1"/>
  <c r="E60" i="1"/>
  <c r="E61" i="1" s="1"/>
  <c r="E62" i="1" s="1"/>
  <c r="H60" i="1"/>
  <c r="H61" i="1" s="1"/>
  <c r="H62" i="1" s="1"/>
  <c r="G60" i="1"/>
  <c r="D60" i="1"/>
  <c r="D61" i="1" s="1"/>
  <c r="D62" i="1" s="1"/>
  <c r="K26" i="1" l="1"/>
  <c r="J62" i="1"/>
  <c r="G61" i="1"/>
  <c r="G62" i="1" s="1"/>
  <c r="G14" i="1"/>
  <c r="F19" i="1"/>
  <c r="F14" i="1"/>
  <c r="F9" i="1"/>
  <c r="J19" i="1"/>
  <c r="J14" i="1"/>
  <c r="N14" i="1" s="1"/>
  <c r="J9" i="1"/>
  <c r="E19" i="1"/>
  <c r="E14" i="1"/>
  <c r="E9" i="1"/>
  <c r="I19" i="1"/>
  <c r="I14" i="1"/>
  <c r="M14" i="1" s="1"/>
  <c r="I9" i="1"/>
  <c r="M9" i="1" s="1"/>
  <c r="M39" i="1" s="1"/>
  <c r="D19" i="1"/>
  <c r="D14" i="1"/>
  <c r="D9" i="1"/>
  <c r="C9" i="1"/>
  <c r="G9" i="1"/>
  <c r="K35" i="1" s="1"/>
  <c r="H9" i="1"/>
  <c r="L35" i="1" s="1"/>
  <c r="G19" i="1"/>
  <c r="C19" i="1"/>
  <c r="U19" i="1"/>
  <c r="T19" i="1"/>
  <c r="S19" i="1"/>
  <c r="K27" i="1" l="1"/>
  <c r="K67" i="1"/>
  <c r="M35" i="1"/>
  <c r="M15" i="1"/>
  <c r="J35" i="1"/>
  <c r="N9" i="1"/>
  <c r="W14" i="1"/>
  <c r="F39" i="1"/>
  <c r="I39" i="1"/>
  <c r="D39" i="1"/>
  <c r="G39" i="1"/>
  <c r="E39" i="1"/>
  <c r="H39" i="1"/>
  <c r="J39" i="1"/>
  <c r="K39" i="1"/>
  <c r="V19" i="1"/>
  <c r="V20" i="1" s="1"/>
  <c r="K32" i="1"/>
  <c r="G35" i="1"/>
  <c r="F15" i="1"/>
  <c r="T35" i="1"/>
  <c r="G15" i="1"/>
  <c r="I35" i="1"/>
  <c r="C15" i="1"/>
  <c r="U35" i="1"/>
  <c r="H35" i="1"/>
  <c r="J15" i="1"/>
  <c r="E15" i="1"/>
  <c r="I15" i="1"/>
  <c r="D15" i="1"/>
  <c r="H15" i="1"/>
  <c r="S15" i="1"/>
  <c r="T15" i="1"/>
  <c r="T30" i="1" s="1"/>
  <c r="U15" i="1"/>
  <c r="U30" i="1" s="1"/>
  <c r="N39" i="1" l="1"/>
  <c r="O39" i="1"/>
  <c r="M20" i="1"/>
  <c r="M30" i="1"/>
  <c r="X14" i="1"/>
  <c r="W15" i="1"/>
  <c r="N35" i="1"/>
  <c r="N15" i="1"/>
  <c r="S20" i="1"/>
  <c r="S24" i="1" s="1"/>
  <c r="S30" i="1"/>
  <c r="V24" i="1"/>
  <c r="V31" i="1"/>
  <c r="F20" i="1"/>
  <c r="F24" i="1" s="1"/>
  <c r="F30" i="1"/>
  <c r="I20" i="1"/>
  <c r="I30" i="1"/>
  <c r="E20" i="1"/>
  <c r="E24" i="1" s="1"/>
  <c r="E30" i="1"/>
  <c r="J20" i="1"/>
  <c r="J24" i="1" s="1"/>
  <c r="J30" i="1"/>
  <c r="H20" i="1"/>
  <c r="H24" i="1" s="1"/>
  <c r="H30" i="1"/>
  <c r="D20" i="1"/>
  <c r="D31" i="1" s="1"/>
  <c r="D30" i="1"/>
  <c r="C20" i="1"/>
  <c r="C24" i="1" s="1"/>
  <c r="C30" i="1"/>
  <c r="G20" i="1"/>
  <c r="G24" i="1" s="1"/>
  <c r="G30" i="1"/>
  <c r="T20" i="1"/>
  <c r="T31" i="1" s="1"/>
  <c r="U20" i="1"/>
  <c r="N20" i="1" l="1"/>
  <c r="N30" i="1"/>
  <c r="M24" i="1"/>
  <c r="M31" i="1"/>
  <c r="Y14" i="1"/>
  <c r="X15" i="1"/>
  <c r="S31" i="1"/>
  <c r="V26" i="1"/>
  <c r="V27" i="1" s="1"/>
  <c r="J31" i="1"/>
  <c r="E31" i="1"/>
  <c r="I24" i="1"/>
  <c r="I26" i="1" s="1"/>
  <c r="I31" i="1"/>
  <c r="C31" i="1"/>
  <c r="F31" i="1"/>
  <c r="H31" i="1"/>
  <c r="D24" i="1"/>
  <c r="D33" i="1" s="1"/>
  <c r="G31" i="1"/>
  <c r="S26" i="1"/>
  <c r="S33" i="1"/>
  <c r="F26" i="1"/>
  <c r="F33" i="1"/>
  <c r="H26" i="1"/>
  <c r="H33" i="1"/>
  <c r="G26" i="1"/>
  <c r="G33" i="1"/>
  <c r="J26" i="1"/>
  <c r="J33" i="1"/>
  <c r="C26" i="1"/>
  <c r="C33" i="1"/>
  <c r="U24" i="1"/>
  <c r="U31" i="1"/>
  <c r="E26" i="1"/>
  <c r="E33" i="1"/>
  <c r="T24" i="1"/>
  <c r="I64" i="1" l="1"/>
  <c r="I65" i="1" s="1"/>
  <c r="J64" i="1"/>
  <c r="J65" i="1" s="1"/>
  <c r="K64" i="1"/>
  <c r="K65" i="1" s="1"/>
  <c r="H64" i="1"/>
  <c r="H65" i="1" s="1"/>
  <c r="M25" i="1"/>
  <c r="M26" i="1"/>
  <c r="N24" i="1"/>
  <c r="N25" i="1" s="1"/>
  <c r="N31" i="1"/>
  <c r="X20" i="1"/>
  <c r="X31" i="1" s="1"/>
  <c r="Z14" i="1"/>
  <c r="Y15" i="1"/>
  <c r="V32" i="1"/>
  <c r="D26" i="1"/>
  <c r="G64" i="1" s="1"/>
  <c r="G65" i="1" s="1"/>
  <c r="I33" i="1"/>
  <c r="J27" i="1"/>
  <c r="J32" i="1"/>
  <c r="C27" i="1"/>
  <c r="C32" i="1"/>
  <c r="G27" i="1"/>
  <c r="G32" i="1"/>
  <c r="E27" i="1"/>
  <c r="E32" i="1"/>
  <c r="T26" i="1"/>
  <c r="T33" i="1"/>
  <c r="H27" i="1"/>
  <c r="H32" i="1"/>
  <c r="I27" i="1"/>
  <c r="I32" i="1"/>
  <c r="F27" i="1"/>
  <c r="F32" i="1"/>
  <c r="U26" i="1"/>
  <c r="U33" i="1"/>
  <c r="S27" i="1"/>
  <c r="S32" i="1"/>
  <c r="F64" i="1" l="1"/>
  <c r="F65" i="1" s="1"/>
  <c r="N26" i="1"/>
  <c r="N33" i="1"/>
  <c r="M27" i="1"/>
  <c r="M32" i="1"/>
  <c r="D32" i="1"/>
  <c r="D67" i="1"/>
  <c r="M33" i="1"/>
  <c r="W25" i="1"/>
  <c r="Y20" i="1"/>
  <c r="Y31" i="1" s="1"/>
  <c r="AA14" i="1"/>
  <c r="Z15" i="1"/>
  <c r="D27" i="1"/>
  <c r="U27" i="1"/>
  <c r="U32" i="1"/>
  <c r="T27" i="1"/>
  <c r="T32" i="1"/>
  <c r="N27" i="1" l="1"/>
  <c r="N32" i="1"/>
  <c r="Z20" i="1"/>
  <c r="Z31" i="1" s="1"/>
  <c r="AB14" i="1"/>
  <c r="AA15" i="1"/>
  <c r="AC14" i="1" l="1"/>
  <c r="AB15" i="1"/>
  <c r="AA20" i="1"/>
  <c r="AA31" i="1" s="1"/>
  <c r="AB20" i="1" l="1"/>
  <c r="AB31" i="1" s="1"/>
  <c r="AD14" i="1"/>
  <c r="AC15" i="1"/>
  <c r="AC20" i="1" l="1"/>
  <c r="AC31" i="1" s="1"/>
  <c r="AE14" i="1"/>
  <c r="AD15" i="1"/>
  <c r="AD20" i="1" l="1"/>
  <c r="AD31" i="1" s="1"/>
  <c r="AF14" i="1"/>
  <c r="AE15" i="1"/>
  <c r="AE20" i="1" l="1"/>
  <c r="AE31" i="1" s="1"/>
  <c r="AG14" i="1"/>
  <c r="AF15" i="1"/>
  <c r="AF20" i="1" l="1"/>
  <c r="AF31" i="1" s="1"/>
  <c r="AH14" i="1"/>
  <c r="AG15" i="1"/>
  <c r="AG20" i="1" l="1"/>
  <c r="AG31" i="1" s="1"/>
  <c r="AI14" i="1"/>
  <c r="AH15" i="1"/>
  <c r="AH20" i="1" l="1"/>
  <c r="AH31" i="1" s="1"/>
  <c r="AJ14" i="1"/>
  <c r="AI15" i="1"/>
  <c r="AI20" i="1" l="1"/>
  <c r="AI31" i="1" s="1"/>
  <c r="AK14" i="1"/>
  <c r="AJ15" i="1"/>
  <c r="AK15" i="1" l="1"/>
  <c r="AJ20" i="1"/>
  <c r="AJ31" i="1" s="1"/>
  <c r="AK20" i="1" l="1"/>
  <c r="AK31" i="1" s="1"/>
  <c r="W19" i="1"/>
  <c r="W20" i="1" s="1"/>
  <c r="W24" i="1" l="1"/>
  <c r="W31" i="1"/>
  <c r="W33" i="1" l="1"/>
  <c r="W26" i="1" l="1"/>
  <c r="W41" i="1" s="1"/>
  <c r="X21" i="1" s="1"/>
  <c r="X24" i="1" s="1"/>
  <c r="X25" i="1" l="1"/>
  <c r="X33" i="1" s="1"/>
  <c r="W32" i="1"/>
  <c r="W27" i="1"/>
  <c r="X26" i="1" l="1"/>
  <c r="X41" i="1" s="1"/>
  <c r="Y21" i="1" s="1"/>
  <c r="Y24" i="1" s="1"/>
  <c r="X32" i="1" l="1"/>
  <c r="X27" i="1"/>
  <c r="Y25" i="1"/>
  <c r="Y33" i="1" s="1"/>
  <c r="Y26" i="1" l="1"/>
  <c r="Y41" i="1" s="1"/>
  <c r="Z21" i="1" s="1"/>
  <c r="Z24" i="1" s="1"/>
  <c r="Y27" i="1"/>
  <c r="Y32" i="1"/>
  <c r="Z25" i="1" l="1"/>
  <c r="Z33" i="1" s="1"/>
  <c r="Z26" i="1" l="1"/>
  <c r="Z41" i="1" s="1"/>
  <c r="AA21" i="1" s="1"/>
  <c r="AA24" i="1" s="1"/>
  <c r="Z27" i="1" l="1"/>
  <c r="Z32" i="1"/>
  <c r="AA25" i="1"/>
  <c r="AA33" i="1" s="1"/>
  <c r="AA26" i="1" l="1"/>
  <c r="AA41" i="1" s="1"/>
  <c r="AB21" i="1" s="1"/>
  <c r="AB24" i="1" s="1"/>
  <c r="AA27" i="1"/>
  <c r="AA32" i="1" l="1"/>
  <c r="AB25" i="1"/>
  <c r="AB33" i="1" s="1"/>
  <c r="AB26" i="1" l="1"/>
  <c r="AB41" i="1" s="1"/>
  <c r="AC21" i="1" s="1"/>
  <c r="AC24" i="1" s="1"/>
  <c r="AB32" i="1" l="1"/>
  <c r="AB27" i="1"/>
  <c r="AC25" i="1"/>
  <c r="AC33" i="1" s="1"/>
  <c r="AC26" i="1" l="1"/>
  <c r="AC41" i="1" s="1"/>
  <c r="AD21" i="1" s="1"/>
  <c r="AD24" i="1" s="1"/>
  <c r="AC27" i="1" l="1"/>
  <c r="AC32" i="1"/>
  <c r="AD25" i="1"/>
  <c r="AD33" i="1" s="1"/>
  <c r="AD26" i="1" l="1"/>
  <c r="AD41" i="1" s="1"/>
  <c r="AE21" i="1" s="1"/>
  <c r="AE24" i="1" s="1"/>
  <c r="AD32" i="1" l="1"/>
  <c r="AD27" i="1"/>
  <c r="AE25" i="1"/>
  <c r="AE33" i="1" s="1"/>
  <c r="AE26" i="1" l="1"/>
  <c r="AE41" i="1" s="1"/>
  <c r="AF21" i="1" s="1"/>
  <c r="AF24" i="1" s="1"/>
  <c r="AE32" i="1" l="1"/>
  <c r="AE27" i="1"/>
  <c r="AF25" i="1"/>
  <c r="AF33" i="1" s="1"/>
  <c r="AF26" i="1" l="1"/>
  <c r="AF41" i="1" s="1"/>
  <c r="AG21" i="1" s="1"/>
  <c r="AG24" i="1" s="1"/>
  <c r="AF32" i="1" l="1"/>
  <c r="AF27" i="1"/>
  <c r="AG25" i="1"/>
  <c r="AG33" i="1" s="1"/>
  <c r="AG26" i="1" l="1"/>
  <c r="AG41" i="1" s="1"/>
  <c r="AH21" i="1" s="1"/>
  <c r="AH24" i="1" s="1"/>
  <c r="AG27" i="1" l="1"/>
  <c r="AG32" i="1"/>
  <c r="AH25" i="1"/>
  <c r="AH33" i="1" s="1"/>
  <c r="AH26" i="1" l="1"/>
  <c r="AH27" i="1" s="1"/>
  <c r="AH41" i="1" l="1"/>
  <c r="AI21" i="1" s="1"/>
  <c r="AI24" i="1" s="1"/>
  <c r="AI25" i="1" s="1"/>
  <c r="AI33" i="1" s="1"/>
  <c r="AH32" i="1"/>
  <c r="AI26" i="1" l="1"/>
  <c r="AI41" i="1" s="1"/>
  <c r="AJ21" i="1" s="1"/>
  <c r="AJ24" i="1" s="1"/>
  <c r="AI27" i="1" l="1"/>
  <c r="AI32" i="1"/>
  <c r="AJ25" i="1"/>
  <c r="AJ33" i="1" s="1"/>
  <c r="AJ26" i="1" l="1"/>
  <c r="AJ41" i="1" s="1"/>
  <c r="AK21" i="1" s="1"/>
  <c r="AK24" i="1" s="1"/>
  <c r="AJ27" i="1" l="1"/>
  <c r="AJ32" i="1"/>
  <c r="AK25" i="1"/>
  <c r="AK33" i="1" s="1"/>
  <c r="AK26" i="1" l="1"/>
  <c r="AK41" i="1" s="1"/>
  <c r="AK32" i="1" l="1"/>
  <c r="AK27" i="1"/>
  <c r="AM26" i="1" l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AN44" i="1" s="1"/>
  <c r="AN46" i="1" s="1"/>
  <c r="AN47" i="1" s="1"/>
  <c r="AN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L5" authorId="0" shapeId="0" xr:uid="{91489175-794A-41F1-AF2F-29B0EE5582B8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
116/119
22% y/y</t>
        </r>
      </text>
    </comment>
    <comment ref="W5" authorId="0" shapeId="0" xr:uid="{BF392A3C-D253-4AA0-84D8-29328D576372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
514/518
21% y/y</t>
        </r>
      </text>
    </comment>
    <comment ref="L9" authorId="0" shapeId="0" xr:uid="{548C76D8-97AD-4C5D-9E2A-BD1F3A254264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revenue outlook
213/216
9% y/y</t>
        </r>
      </text>
    </comment>
    <comment ref="W9" authorId="0" shapeId="0" xr:uid="{278DC833-CF0D-4ECE-8185-DEE73E9C6946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 
904/914
9% y/y</t>
        </r>
      </text>
    </comment>
  </commentList>
</comments>
</file>

<file path=xl/sharedStrings.xml><?xml version="1.0" encoding="utf-8"?>
<sst xmlns="http://schemas.openxmlformats.org/spreadsheetml/2006/main" count="137" uniqueCount="106">
  <si>
    <t>Commvault Systems</t>
  </si>
  <si>
    <t>(in millions)</t>
  </si>
  <si>
    <t>Q422</t>
  </si>
  <si>
    <t>Q123</t>
  </si>
  <si>
    <t>Q223</t>
  </si>
  <si>
    <t>Q323</t>
  </si>
  <si>
    <t>Q423</t>
  </si>
  <si>
    <t>S&amp;M</t>
  </si>
  <si>
    <t>R&amp;D</t>
  </si>
  <si>
    <t>G&amp;A</t>
  </si>
  <si>
    <t>Operating expenses</t>
  </si>
  <si>
    <t>Interest income</t>
  </si>
  <si>
    <t>Interest expense</t>
  </si>
  <si>
    <t>Pretaxes</t>
  </si>
  <si>
    <t>Taxes</t>
  </si>
  <si>
    <t>Net income</t>
  </si>
  <si>
    <t>EPS</t>
  </si>
  <si>
    <t>Shares</t>
  </si>
  <si>
    <t>Gross margin</t>
  </si>
  <si>
    <t>Price</t>
  </si>
  <si>
    <t>MC</t>
  </si>
  <si>
    <t>Cash</t>
  </si>
  <si>
    <t>Debt</t>
  </si>
  <si>
    <t>EV</t>
  </si>
  <si>
    <t>Total Revenue</t>
  </si>
  <si>
    <t>Customer support</t>
  </si>
  <si>
    <t>Other services</t>
  </si>
  <si>
    <t>COGS customer support</t>
  </si>
  <si>
    <t>COGS other services</t>
  </si>
  <si>
    <t>COGS Subscription</t>
  </si>
  <si>
    <t>COGS Perpetual license</t>
  </si>
  <si>
    <t>Operating margin</t>
  </si>
  <si>
    <t>Net margin</t>
  </si>
  <si>
    <t>Tax rate</t>
  </si>
  <si>
    <t>Revenue y/y</t>
  </si>
  <si>
    <t>Net cash</t>
  </si>
  <si>
    <t>A/R</t>
  </si>
  <si>
    <t>OCA</t>
  </si>
  <si>
    <t>PP&amp;E</t>
  </si>
  <si>
    <t>Lease</t>
  </si>
  <si>
    <t>OA</t>
  </si>
  <si>
    <t>Total assets</t>
  </si>
  <si>
    <t>A/P</t>
  </si>
  <si>
    <t>OL</t>
  </si>
  <si>
    <t>L+S/E</t>
  </si>
  <si>
    <t>Total Liabilities</t>
  </si>
  <si>
    <t>Q124</t>
  </si>
  <si>
    <t>Q224</t>
  </si>
  <si>
    <t>Operating income</t>
  </si>
  <si>
    <t>Q324</t>
  </si>
  <si>
    <t>Q424</t>
  </si>
  <si>
    <t>(CVLT)</t>
  </si>
  <si>
    <t>Total value</t>
  </si>
  <si>
    <t>Current price</t>
  </si>
  <si>
    <t>Gross profit</t>
  </si>
  <si>
    <t>COGS</t>
  </si>
  <si>
    <t>Annual</t>
  </si>
  <si>
    <t>Subscription</t>
  </si>
  <si>
    <t>Perpetual license</t>
  </si>
  <si>
    <t>Americas</t>
  </si>
  <si>
    <t>International</t>
  </si>
  <si>
    <t>Americas y/y</t>
  </si>
  <si>
    <t>International y/y</t>
  </si>
  <si>
    <t>Total</t>
  </si>
  <si>
    <t>n/a</t>
  </si>
  <si>
    <t>Revenue q/q</t>
  </si>
  <si>
    <t>Current</t>
  </si>
  <si>
    <t>Goodwill</t>
  </si>
  <si>
    <t>D/R</t>
  </si>
  <si>
    <t>D/T</t>
  </si>
  <si>
    <t>Accrued</t>
  </si>
  <si>
    <t>S/E</t>
  </si>
  <si>
    <t>D/R cost</t>
  </si>
  <si>
    <t>Other income/expense</t>
  </si>
  <si>
    <t>Terminal value</t>
  </si>
  <si>
    <t>Discount rate</t>
  </si>
  <si>
    <t>NPV</t>
  </si>
  <si>
    <t>Per share</t>
  </si>
  <si>
    <t>S&amp;M q/q</t>
  </si>
  <si>
    <t>R&amp;D q/q</t>
  </si>
  <si>
    <t>G&amp;A q/q</t>
  </si>
  <si>
    <t>Model NI</t>
  </si>
  <si>
    <t>Reported NI</t>
  </si>
  <si>
    <t>D&amp;A</t>
  </si>
  <si>
    <t>SBC</t>
  </si>
  <si>
    <t>Fair value securities</t>
  </si>
  <si>
    <t>Amort defferred commissions cost</t>
  </si>
  <si>
    <t>Defferred commisions cost</t>
  </si>
  <si>
    <t>Accrued liabilties</t>
  </si>
  <si>
    <t>Other liabilties</t>
  </si>
  <si>
    <t>Other assets</t>
  </si>
  <si>
    <t>Working capital</t>
  </si>
  <si>
    <t>CFFO</t>
  </si>
  <si>
    <t>CapEx</t>
  </si>
  <si>
    <t>Securities</t>
  </si>
  <si>
    <t>CFFI</t>
  </si>
  <si>
    <t>Buybacks</t>
  </si>
  <si>
    <t>ESOP</t>
  </si>
  <si>
    <t>Cost of debt</t>
  </si>
  <si>
    <t>CFFF</t>
  </si>
  <si>
    <t>FX</t>
  </si>
  <si>
    <t>CIC</t>
  </si>
  <si>
    <t>DR</t>
  </si>
  <si>
    <t>CFFO-SBC+CapEx</t>
  </si>
  <si>
    <t>Cash flow TTM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</si>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</sst>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,"/>
    <numFmt numFmtId="165" formatCode="0\x"/>
  </numFmts>
  <fonts count="1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3">
    <xf numFmtId="0" fontId="0" fillId="0" borderId="0" xfId="0"/>
    <xf numFmtId="0" fontId="13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2" fillId="0" borderId="0" xfId="0" applyFont="1"/>
    <xf numFmtId="164" fontId="12" fillId="0" borderId="0" xfId="0" applyNumberFormat="1" applyFont="1"/>
    <xf numFmtId="9" fontId="10" fillId="0" borderId="0" xfId="1" applyFont="1"/>
    <xf numFmtId="164" fontId="10" fillId="0" borderId="0" xfId="1" applyNumberFormat="1" applyFont="1"/>
    <xf numFmtId="2" fontId="10" fillId="0" borderId="0" xfId="0" applyNumberFormat="1" applyFont="1"/>
    <xf numFmtId="3" fontId="10" fillId="0" borderId="0" xfId="0" applyNumberFormat="1" applyFont="1"/>
    <xf numFmtId="4" fontId="10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3" fontId="9" fillId="0" borderId="0" xfId="0" applyNumberFormat="1" applyFont="1"/>
    <xf numFmtId="165" fontId="9" fillId="0" borderId="0" xfId="0" applyNumberFormat="1" applyFont="1"/>
    <xf numFmtId="0" fontId="8" fillId="0" borderId="0" xfId="0" applyFont="1"/>
    <xf numFmtId="3" fontId="10" fillId="0" borderId="0" xfId="0" applyNumberFormat="1" applyFont="1" applyAlignment="1">
      <alignment horizontal="right"/>
    </xf>
    <xf numFmtId="3" fontId="12" fillId="0" borderId="0" xfId="0" applyNumberFormat="1" applyFont="1"/>
    <xf numFmtId="3" fontId="10" fillId="2" borderId="0" xfId="0" applyNumberFormat="1" applyFont="1" applyFill="1"/>
    <xf numFmtId="3" fontId="10" fillId="0" borderId="0" xfId="1" applyNumberFormat="1" applyFont="1"/>
    <xf numFmtId="9" fontId="10" fillId="0" borderId="0" xfId="1" applyFont="1" applyFill="1"/>
    <xf numFmtId="9" fontId="12" fillId="0" borderId="0" xfId="1" applyFont="1"/>
    <xf numFmtId="9" fontId="10" fillId="0" borderId="0" xfId="0" applyNumberFormat="1" applyFont="1"/>
    <xf numFmtId="3" fontId="8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7" fillId="0" borderId="0" xfId="1" applyFont="1"/>
    <xf numFmtId="3" fontId="6" fillId="0" borderId="0" xfId="0" applyNumberFormat="1" applyFont="1" applyAlignment="1">
      <alignment horizontal="right"/>
    </xf>
    <xf numFmtId="0" fontId="6" fillId="0" borderId="0" xfId="0" applyFont="1"/>
    <xf numFmtId="9" fontId="6" fillId="0" borderId="0" xfId="0" applyNumberFormat="1" applyFont="1"/>
    <xf numFmtId="0" fontId="14" fillId="0" borderId="0" xfId="0" applyFont="1"/>
    <xf numFmtId="1" fontId="6" fillId="0" borderId="0" xfId="0" applyNumberFormat="1" applyFont="1"/>
    <xf numFmtId="3" fontId="6" fillId="0" borderId="0" xfId="0" applyNumberFormat="1" applyFont="1"/>
    <xf numFmtId="9" fontId="6" fillId="0" borderId="0" xfId="1" applyFont="1"/>
    <xf numFmtId="9" fontId="6" fillId="0" borderId="0" xfId="1" applyFont="1" applyAlignment="1">
      <alignment horizontal="center"/>
    </xf>
    <xf numFmtId="14" fontId="10" fillId="0" borderId="0" xfId="0" applyNumberFormat="1" applyFont="1" applyAlignment="1">
      <alignment horizontal="right" wrapText="1"/>
    </xf>
    <xf numFmtId="1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/>
    <xf numFmtId="10" fontId="10" fillId="0" borderId="0" xfId="0" applyNumberFormat="1" applyFont="1"/>
    <xf numFmtId="0" fontId="14" fillId="0" borderId="0" xfId="0" applyFont="1" applyAlignment="1">
      <alignment horizontal="left"/>
    </xf>
    <xf numFmtId="9" fontId="10" fillId="0" borderId="0" xfId="1" applyFont="1" applyAlignment="1">
      <alignment horizontal="right"/>
    </xf>
    <xf numFmtId="9" fontId="6" fillId="0" borderId="0" xfId="1" applyFont="1" applyAlignment="1">
      <alignment horizontal="right"/>
    </xf>
    <xf numFmtId="9" fontId="5" fillId="0" borderId="0" xfId="0" applyNumberFormat="1" applyFont="1"/>
    <xf numFmtId="0" fontId="4" fillId="0" borderId="0" xfId="0" applyFont="1"/>
    <xf numFmtId="3" fontId="4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/>
    <xf numFmtId="9" fontId="2" fillId="0" borderId="0" xfId="0" applyNumberFormat="1" applyFont="1"/>
    <xf numFmtId="165" fontId="1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38100</xdr:rowOff>
    </xdr:from>
    <xdr:to>
      <xdr:col>11</xdr:col>
      <xdr:colOff>28575</xdr:colOff>
      <xdr:row>96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8909A92-0E51-7A0A-D871-0BEA0AA4E20B}"/>
            </a:ext>
          </a:extLst>
        </xdr:cNvPr>
        <xdr:cNvCxnSpPr/>
      </xdr:nvCxnSpPr>
      <xdr:spPr>
        <a:xfrm>
          <a:off x="8477250" y="200025"/>
          <a:ext cx="0" cy="1524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</xdr:colOff>
      <xdr:row>1</xdr:row>
      <xdr:rowOff>33337</xdr:rowOff>
    </xdr:from>
    <xdr:to>
      <xdr:col>22</xdr:col>
      <xdr:colOff>17709</xdr:colOff>
      <xdr:row>67</xdr:row>
      <xdr:rowOff>14287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704F05-23DB-7533-A86D-EFD7D48B3346}"/>
            </a:ext>
          </a:extLst>
        </xdr:cNvPr>
        <xdr:cNvCxnSpPr/>
      </xdr:nvCxnSpPr>
      <xdr:spPr>
        <a:xfrm>
          <a:off x="15080456" y="195262"/>
          <a:ext cx="15328" cy="1175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4D2F-4985-4C6A-B923-72C3E727C960}">
  <dimension ref="B2:L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3" sqref="K13"/>
    </sheetView>
  </sheetViews>
  <sheetFormatPr defaultRowHeight="12.75" x14ac:dyDescent="0.2"/>
  <cols>
    <col min="1" max="1" width="2.85546875" style="13" customWidth="1"/>
    <col min="2" max="2" width="30.42578125" style="13" customWidth="1"/>
    <col min="3" max="3" width="9.140625" style="13"/>
    <col min="4" max="4" width="10.140625" style="13" bestFit="1" customWidth="1"/>
    <col min="5" max="16384" width="9.140625" style="13"/>
  </cols>
  <sheetData>
    <row r="2" spans="2:12" ht="34.5" x14ac:dyDescent="0.45">
      <c r="B2" s="1" t="s">
        <v>0</v>
      </c>
    </row>
    <row r="3" spans="2:12" x14ac:dyDescent="0.2">
      <c r="B3" s="32" t="s">
        <v>51</v>
      </c>
    </row>
    <row r="4" spans="2:12" x14ac:dyDescent="0.2">
      <c r="B4" s="32" t="s">
        <v>1</v>
      </c>
    </row>
    <row r="6" spans="2:12" x14ac:dyDescent="0.2">
      <c r="J6" s="13" t="s">
        <v>19</v>
      </c>
      <c r="K6" s="15">
        <v>120</v>
      </c>
      <c r="L6" s="14"/>
    </row>
    <row r="7" spans="2:12" x14ac:dyDescent="0.2">
      <c r="J7" s="13" t="s">
        <v>17</v>
      </c>
      <c r="K7" s="15">
        <v>44.798999999999999</v>
      </c>
      <c r="L7" s="40" t="s">
        <v>50</v>
      </c>
    </row>
    <row r="8" spans="2:12" x14ac:dyDescent="0.2">
      <c r="J8" s="13" t="s">
        <v>20</v>
      </c>
      <c r="K8" s="15">
        <f>+K7*K6</f>
        <v>5375.88</v>
      </c>
      <c r="L8" s="14"/>
    </row>
    <row r="9" spans="2:12" x14ac:dyDescent="0.2">
      <c r="J9" s="13" t="s">
        <v>21</v>
      </c>
      <c r="K9" s="15">
        <v>351</v>
      </c>
      <c r="L9" s="40" t="s">
        <v>50</v>
      </c>
    </row>
    <row r="10" spans="2:12" x14ac:dyDescent="0.2">
      <c r="J10" s="13" t="s">
        <v>22</v>
      </c>
      <c r="K10" s="15">
        <v>0</v>
      </c>
      <c r="L10" s="40" t="s">
        <v>50</v>
      </c>
    </row>
    <row r="11" spans="2:12" x14ac:dyDescent="0.2">
      <c r="J11" s="13" t="s">
        <v>23</v>
      </c>
      <c r="K11" s="15">
        <f>+K8-K9</f>
        <v>5024.88</v>
      </c>
      <c r="L11" s="14"/>
    </row>
    <row r="12" spans="2:12" x14ac:dyDescent="0.2">
      <c r="K12" s="52">
        <f>+K11/64</f>
        <v>78.513750000000002</v>
      </c>
    </row>
    <row r="13" spans="2:12" x14ac:dyDescent="0.2">
      <c r="K1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4EFB-DDA4-4725-BD54-EF521B37D92F}">
  <dimension ref="B2:HE95"/>
  <sheetViews>
    <sheetView tabSelected="1" zoomScaleNormal="100" workbookViewId="0">
      <pane xSplit="2" ySplit="4" topLeftCell="C5" activePane="bottomRight" state="frozen"/>
      <selection pane="topRight" activeCell="B1" sqref="B1"/>
      <selection pane="bottomLeft" activeCell="A4" sqref="A4"/>
      <selection pane="bottomRight" activeCell="P14" sqref="P14"/>
    </sheetView>
  </sheetViews>
  <sheetFormatPr defaultRowHeight="12.75" x14ac:dyDescent="0.2"/>
  <cols>
    <col min="1" max="1" width="3.140625" style="2" customWidth="1"/>
    <col min="2" max="2" width="31.5703125" style="2" customWidth="1"/>
    <col min="3" max="6" width="10.140625" style="11" bestFit="1" customWidth="1"/>
    <col min="7" max="10" width="10.28515625" style="11" bestFit="1" customWidth="1"/>
    <col min="11" max="11" width="10.28515625" style="11" customWidth="1"/>
    <col min="12" max="12" width="7.42578125" style="2" customWidth="1"/>
    <col min="13" max="13" width="7.140625" style="2" customWidth="1"/>
    <col min="14" max="14" width="7.5703125" style="2" customWidth="1"/>
    <col min="15" max="15" width="7.28515625" style="2" customWidth="1"/>
    <col min="16" max="16" width="12.7109375" style="2" customWidth="1"/>
    <col min="17" max="17" width="10.28515625" style="2" customWidth="1"/>
    <col min="18" max="18" width="10" style="2" bestFit="1" customWidth="1"/>
    <col min="19" max="21" width="9.7109375" style="2" bestFit="1" customWidth="1"/>
    <col min="22" max="22" width="7.85546875" style="2" customWidth="1"/>
    <col min="23" max="23" width="7.42578125" style="2" customWidth="1"/>
    <col min="24" max="24" width="7.140625" style="2" customWidth="1"/>
    <col min="25" max="25" width="7" style="2" customWidth="1"/>
    <col min="26" max="26" width="7.140625" style="2" customWidth="1"/>
    <col min="27" max="27" width="7.85546875" style="2" customWidth="1"/>
    <col min="28" max="28" width="8" style="2" customWidth="1"/>
    <col min="29" max="29" width="8.28515625" style="2" customWidth="1"/>
    <col min="30" max="30" width="8" style="2" customWidth="1"/>
    <col min="31" max="31" width="8.42578125" style="2" customWidth="1"/>
    <col min="32" max="32" width="8.140625" style="2" customWidth="1"/>
    <col min="33" max="33" width="8.85546875" style="2" customWidth="1"/>
    <col min="34" max="34" width="8.42578125" style="2" customWidth="1"/>
    <col min="35" max="35" width="8.85546875" style="2" customWidth="1"/>
    <col min="36" max="37" width="9" style="2" customWidth="1"/>
    <col min="38" max="38" width="8.85546875" style="2" customWidth="1"/>
    <col min="39" max="39" width="13.5703125" style="2" bestFit="1" customWidth="1"/>
    <col min="40" max="40" width="9.140625" style="2" customWidth="1"/>
    <col min="41" max="16384" width="9.140625" style="2"/>
  </cols>
  <sheetData>
    <row r="2" spans="2:37" s="27" customFormat="1" ht="34.5" x14ac:dyDescent="0.45">
      <c r="B2" s="1" t="s">
        <v>0</v>
      </c>
      <c r="C2" s="25" t="s">
        <v>56</v>
      </c>
      <c r="D2" s="26"/>
      <c r="E2" s="26"/>
      <c r="F2" s="26"/>
      <c r="G2" s="25" t="s">
        <v>56</v>
      </c>
      <c r="H2" s="26"/>
      <c r="I2" s="26"/>
      <c r="J2" s="26"/>
      <c r="K2" s="25" t="s">
        <v>56</v>
      </c>
    </row>
    <row r="3" spans="2:37" s="3" customFormat="1" x14ac:dyDescent="0.2">
      <c r="B3" s="43" t="s">
        <v>51</v>
      </c>
      <c r="C3" s="37">
        <v>44651</v>
      </c>
      <c r="D3" s="38">
        <v>44772</v>
      </c>
      <c r="E3" s="38">
        <v>44834</v>
      </c>
      <c r="F3" s="37">
        <v>44926</v>
      </c>
      <c r="G3" s="37">
        <v>45016</v>
      </c>
      <c r="H3" s="38">
        <v>45137</v>
      </c>
      <c r="I3" s="38">
        <v>45199</v>
      </c>
      <c r="J3" s="37">
        <v>45291</v>
      </c>
      <c r="K3" s="37">
        <v>45382</v>
      </c>
      <c r="L3" s="39"/>
      <c r="M3" s="39"/>
      <c r="N3" s="39"/>
      <c r="Q3" s="39"/>
      <c r="R3" s="39"/>
      <c r="S3" s="39"/>
      <c r="T3" s="39"/>
      <c r="U3" s="39"/>
    </row>
    <row r="4" spans="2:37" x14ac:dyDescent="0.2">
      <c r="B4" s="32" t="s">
        <v>1</v>
      </c>
      <c r="C4" s="29" t="s">
        <v>2</v>
      </c>
      <c r="D4" s="48" t="s">
        <v>3</v>
      </c>
      <c r="E4" s="29" t="s">
        <v>4</v>
      </c>
      <c r="F4" s="29" t="s">
        <v>5</v>
      </c>
      <c r="G4" s="29" t="s">
        <v>6</v>
      </c>
      <c r="H4" s="29" t="s">
        <v>46</v>
      </c>
      <c r="I4" s="29" t="s">
        <v>47</v>
      </c>
      <c r="J4" s="29" t="s">
        <v>49</v>
      </c>
      <c r="K4" s="29" t="s">
        <v>50</v>
      </c>
      <c r="L4" s="3" t="s">
        <v>46</v>
      </c>
      <c r="M4" s="3" t="s">
        <v>47</v>
      </c>
      <c r="N4" s="3" t="s">
        <v>49</v>
      </c>
      <c r="O4" s="3" t="s">
        <v>50</v>
      </c>
      <c r="P4" s="3"/>
      <c r="Q4" s="3">
        <v>2019</v>
      </c>
      <c r="R4" s="2">
        <v>2020</v>
      </c>
      <c r="S4" s="2">
        <v>2021</v>
      </c>
      <c r="T4" s="2">
        <v>2022</v>
      </c>
      <c r="U4" s="2">
        <v>2023</v>
      </c>
      <c r="V4" s="2">
        <v>2024</v>
      </c>
      <c r="W4" s="2">
        <v>2025</v>
      </c>
      <c r="X4" s="2">
        <f>+W4+1</f>
        <v>2026</v>
      </c>
      <c r="Y4" s="2">
        <f t="shared" ref="Y4:AK4" si="0">+X4+1</f>
        <v>2027</v>
      </c>
      <c r="Z4" s="2">
        <f t="shared" si="0"/>
        <v>2028</v>
      </c>
      <c r="AA4" s="2">
        <f t="shared" si="0"/>
        <v>2029</v>
      </c>
      <c r="AB4" s="2">
        <f t="shared" si="0"/>
        <v>2030</v>
      </c>
      <c r="AC4" s="2">
        <f t="shared" si="0"/>
        <v>2031</v>
      </c>
      <c r="AD4" s="2">
        <f t="shared" si="0"/>
        <v>2032</v>
      </c>
      <c r="AE4" s="2">
        <f t="shared" si="0"/>
        <v>2033</v>
      </c>
      <c r="AF4" s="2">
        <f t="shared" si="0"/>
        <v>2034</v>
      </c>
      <c r="AG4" s="2">
        <f t="shared" si="0"/>
        <v>2035</v>
      </c>
      <c r="AH4" s="2">
        <f t="shared" si="0"/>
        <v>2036</v>
      </c>
      <c r="AI4" s="2">
        <f t="shared" si="0"/>
        <v>2037</v>
      </c>
      <c r="AJ4" s="2">
        <f t="shared" si="0"/>
        <v>2038</v>
      </c>
      <c r="AK4" s="2">
        <f t="shared" si="0"/>
        <v>2039</v>
      </c>
    </row>
    <row r="5" spans="2:37" x14ac:dyDescent="0.2">
      <c r="B5" s="30" t="s">
        <v>57</v>
      </c>
      <c r="C5" s="18">
        <v>86.915999999999997</v>
      </c>
      <c r="D5" s="18">
        <v>87.628</v>
      </c>
      <c r="E5" s="18">
        <v>78.239000000000004</v>
      </c>
      <c r="F5" s="18">
        <v>87.38</v>
      </c>
      <c r="G5" s="18">
        <v>94.537000000000006</v>
      </c>
      <c r="H5" s="18">
        <v>97.29</v>
      </c>
      <c r="I5" s="18">
        <v>97.757000000000005</v>
      </c>
      <c r="J5" s="18">
        <v>114.247</v>
      </c>
      <c r="K5" s="18">
        <v>119.873</v>
      </c>
      <c r="L5" s="18">
        <v>119</v>
      </c>
      <c r="M5" s="18"/>
      <c r="N5" s="18"/>
      <c r="O5" s="18"/>
      <c r="P5" s="4"/>
      <c r="Q5" s="20">
        <v>309.899</v>
      </c>
      <c r="R5" s="20">
        <v>275.30799999999999</v>
      </c>
      <c r="S5" s="20">
        <v>326.84300000000002</v>
      </c>
      <c r="T5" s="11">
        <v>268.35899999999998</v>
      </c>
      <c r="U5" s="11">
        <f>D5+E5+F5+G5</f>
        <v>347.78399999999999</v>
      </c>
      <c r="V5" s="11">
        <v>429.16699999999997</v>
      </c>
      <c r="W5" s="11">
        <v>518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2:37" x14ac:dyDescent="0.2">
      <c r="B6" s="30" t="s">
        <v>58</v>
      </c>
      <c r="C6" s="18">
        <v>23.385000000000002</v>
      </c>
      <c r="D6" s="18">
        <v>17.797999999999998</v>
      </c>
      <c r="E6" s="18">
        <v>19.831</v>
      </c>
      <c r="F6" s="18">
        <v>19.728000000000002</v>
      </c>
      <c r="G6" s="18">
        <v>17.561</v>
      </c>
      <c r="H6" s="18">
        <v>13.154999999999999</v>
      </c>
      <c r="I6" s="18">
        <v>14.388</v>
      </c>
      <c r="J6" s="18">
        <v>14.874000000000001</v>
      </c>
      <c r="K6" s="18">
        <v>15.196</v>
      </c>
      <c r="L6" s="18"/>
      <c r="M6" s="18"/>
      <c r="N6" s="18"/>
      <c r="O6" s="11"/>
      <c r="P6" s="5"/>
      <c r="Q6" s="20">
        <v>401.05799999999999</v>
      </c>
      <c r="R6" s="20">
        <v>395.577</v>
      </c>
      <c r="S6" s="20">
        <v>396.62900000000002</v>
      </c>
      <c r="T6" s="11">
        <v>111.857</v>
      </c>
      <c r="U6" s="11">
        <f>D6+E6+F6+G6</f>
        <v>74.918000000000006</v>
      </c>
      <c r="V6" s="11">
        <v>57.613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2:37" x14ac:dyDescent="0.2">
      <c r="B7" s="2" t="s">
        <v>25</v>
      </c>
      <c r="C7" s="18">
        <v>84.686000000000007</v>
      </c>
      <c r="D7" s="18">
        <v>81.316999999999993</v>
      </c>
      <c r="E7" s="18">
        <v>77.995999999999995</v>
      </c>
      <c r="F7" s="18">
        <v>77.665000000000006</v>
      </c>
      <c r="G7" s="18">
        <v>77.334999999999994</v>
      </c>
      <c r="H7" s="18">
        <v>76.915000000000006</v>
      </c>
      <c r="I7" s="18">
        <v>77.019000000000005</v>
      </c>
      <c r="J7" s="18">
        <v>76.811999999999998</v>
      </c>
      <c r="K7" s="18">
        <v>77.025000000000006</v>
      </c>
      <c r="L7" s="18"/>
      <c r="M7" s="18"/>
      <c r="N7" s="18"/>
      <c r="O7" s="11"/>
      <c r="P7" s="5"/>
      <c r="Q7" s="11"/>
      <c r="R7" s="11"/>
      <c r="S7" s="11"/>
      <c r="T7" s="11">
        <v>347.11500000000001</v>
      </c>
      <c r="U7" s="11">
        <f>D7+E7+F7+G7</f>
        <v>314.31299999999999</v>
      </c>
      <c r="V7" s="11">
        <v>307.77100000000002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2:37" x14ac:dyDescent="0.2">
      <c r="B8" s="2" t="s">
        <v>26</v>
      </c>
      <c r="C8" s="18">
        <v>10.962</v>
      </c>
      <c r="D8" s="18">
        <v>11.238</v>
      </c>
      <c r="E8" s="18">
        <v>11.991</v>
      </c>
      <c r="F8" s="18">
        <v>10.301</v>
      </c>
      <c r="G8" s="18">
        <v>14.45</v>
      </c>
      <c r="H8" s="18">
        <v>10.79</v>
      </c>
      <c r="I8" s="18">
        <v>11.833</v>
      </c>
      <c r="J8" s="18">
        <v>10.875</v>
      </c>
      <c r="K8" s="18">
        <v>11.198</v>
      </c>
      <c r="L8" s="18"/>
      <c r="M8" s="18"/>
      <c r="N8" s="18"/>
      <c r="O8" s="11"/>
      <c r="P8" s="5"/>
      <c r="Q8" s="11"/>
      <c r="R8" s="11"/>
      <c r="S8" s="11"/>
      <c r="T8" s="11">
        <v>42.26</v>
      </c>
      <c r="U8" s="11">
        <f>D8+E8+F8+G8</f>
        <v>47.980000000000004</v>
      </c>
      <c r="V8" s="11">
        <v>44.695999999999998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2:37" s="6" customFormat="1" x14ac:dyDescent="0.2">
      <c r="B9" s="6" t="s">
        <v>24</v>
      </c>
      <c r="C9" s="19">
        <f t="shared" ref="C9:K9" si="1">SUM(C5:C8)</f>
        <v>205.94900000000001</v>
      </c>
      <c r="D9" s="19">
        <f t="shared" si="1"/>
        <v>197.98099999999999</v>
      </c>
      <c r="E9" s="19">
        <f t="shared" si="1"/>
        <v>188.05700000000002</v>
      </c>
      <c r="F9" s="19">
        <f t="shared" si="1"/>
        <v>195.07400000000001</v>
      </c>
      <c r="G9" s="19">
        <f t="shared" si="1"/>
        <v>203.88299999999998</v>
      </c>
      <c r="H9" s="19">
        <f t="shared" si="1"/>
        <v>198.15</v>
      </c>
      <c r="I9" s="19">
        <f t="shared" si="1"/>
        <v>200.99700000000001</v>
      </c>
      <c r="J9" s="19">
        <f t="shared" si="1"/>
        <v>216.80799999999999</v>
      </c>
      <c r="K9" s="19">
        <f t="shared" si="1"/>
        <v>223.29200000000003</v>
      </c>
      <c r="L9" s="19">
        <v>216</v>
      </c>
      <c r="M9" s="19">
        <f t="shared" ref="M9:O9" si="2">+I9*1.1</f>
        <v>221.09670000000003</v>
      </c>
      <c r="N9" s="19">
        <f t="shared" si="2"/>
        <v>238.4888</v>
      </c>
      <c r="O9" s="19">
        <f t="shared" si="2"/>
        <v>245.62120000000004</v>
      </c>
      <c r="P9" s="7"/>
      <c r="Q9" s="19">
        <f>SUM(Q5:Q8)</f>
        <v>710.95699999999999</v>
      </c>
      <c r="R9" s="19">
        <f>SUM(R5:R8)</f>
        <v>670.88499999999999</v>
      </c>
      <c r="S9" s="19">
        <f>SUM(S5:S8)</f>
        <v>723.47199999999998</v>
      </c>
      <c r="T9" s="19">
        <f>SUM(T5:T8)</f>
        <v>769.59100000000001</v>
      </c>
      <c r="U9" s="19">
        <f>SUM(U5:U8)</f>
        <v>784.995</v>
      </c>
      <c r="V9" s="19">
        <f>+SUM(V5:V8)</f>
        <v>839.24699999999996</v>
      </c>
      <c r="W9" s="19">
        <v>914</v>
      </c>
      <c r="X9" s="19">
        <f>+W9*1.1</f>
        <v>1005.4000000000001</v>
      </c>
      <c r="Y9" s="19">
        <f t="shared" ref="Y9:AD9" si="3">+X9*1.1</f>
        <v>1105.9400000000003</v>
      </c>
      <c r="Z9" s="19">
        <f t="shared" si="3"/>
        <v>1216.5340000000003</v>
      </c>
      <c r="AA9" s="19">
        <f t="shared" si="3"/>
        <v>1338.1874000000005</v>
      </c>
      <c r="AB9" s="19">
        <f t="shared" si="3"/>
        <v>1472.0061400000006</v>
      </c>
      <c r="AC9" s="19">
        <f t="shared" si="3"/>
        <v>1619.2067540000007</v>
      </c>
      <c r="AD9" s="19">
        <f t="shared" si="3"/>
        <v>1781.1274294000009</v>
      </c>
      <c r="AE9" s="19">
        <f>+AD9*1.12</f>
        <v>1994.8627209280012</v>
      </c>
      <c r="AF9" s="19">
        <f t="shared" ref="AF9:AK9" si="4">+AE9*1.12</f>
        <v>2234.2462474393615</v>
      </c>
      <c r="AG9" s="19">
        <f t="shared" si="4"/>
        <v>2502.3557971320852</v>
      </c>
      <c r="AH9" s="19">
        <f t="shared" si="4"/>
        <v>2802.6384927879358</v>
      </c>
      <c r="AI9" s="19">
        <f t="shared" si="4"/>
        <v>3138.9551119224884</v>
      </c>
      <c r="AJ9" s="19">
        <f t="shared" si="4"/>
        <v>3515.6297253531875</v>
      </c>
      <c r="AK9" s="19">
        <f t="shared" si="4"/>
        <v>3937.5052923955705</v>
      </c>
    </row>
    <row r="10" spans="2:37" x14ac:dyDescent="0.2">
      <c r="B10" s="2" t="s">
        <v>29</v>
      </c>
      <c r="C10" s="20">
        <v>4.5860000000000003</v>
      </c>
      <c r="D10" s="11">
        <v>10.984999999999999</v>
      </c>
      <c r="E10" s="11">
        <v>8.8930000000000007</v>
      </c>
      <c r="F10" s="11">
        <v>11.682</v>
      </c>
      <c r="G10" s="11">
        <v>12.922000000000001</v>
      </c>
      <c r="H10" s="11">
        <v>12.363</v>
      </c>
      <c r="I10" s="11">
        <v>14.643000000000001</v>
      </c>
      <c r="J10" s="11">
        <v>15.914</v>
      </c>
      <c r="K10" s="11">
        <v>15.486000000000001</v>
      </c>
      <c r="L10" s="11"/>
      <c r="M10" s="11"/>
      <c r="N10" s="11"/>
      <c r="P10" s="5"/>
      <c r="Q10" s="20">
        <v>25.690999999999999</v>
      </c>
      <c r="R10" s="20">
        <v>28.082000000000001</v>
      </c>
      <c r="S10" s="20">
        <v>27.218</v>
      </c>
      <c r="T10" s="11">
        <v>24.577999999999999</v>
      </c>
      <c r="U10" s="11">
        <f>D10+E10+F10+G10</f>
        <v>44.481999999999999</v>
      </c>
      <c r="V10" s="11">
        <v>58.405999999999999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2:37" x14ac:dyDescent="0.2">
      <c r="B11" s="2" t="s">
        <v>30</v>
      </c>
      <c r="C11" s="20">
        <v>27.460999999999999</v>
      </c>
      <c r="D11" s="11">
        <v>0.626</v>
      </c>
      <c r="E11" s="11">
        <v>0.65600000000000003</v>
      </c>
      <c r="F11" s="11">
        <v>0.63800000000000001</v>
      </c>
      <c r="G11" s="11">
        <v>0.51900000000000002</v>
      </c>
      <c r="H11" s="11">
        <v>0.41199999999999998</v>
      </c>
      <c r="I11" s="11">
        <v>0.64200000000000002</v>
      </c>
      <c r="J11" s="11">
        <v>0.79800000000000004</v>
      </c>
      <c r="K11" s="11">
        <v>0.316</v>
      </c>
      <c r="L11" s="11"/>
      <c r="M11" s="11"/>
      <c r="N11" s="11"/>
      <c r="O11" s="11"/>
      <c r="P11" s="5"/>
      <c r="Q11" s="20">
        <v>91.314999999999998</v>
      </c>
      <c r="R11" s="20">
        <v>88.995999999999995</v>
      </c>
      <c r="S11" s="20">
        <v>82.155000000000001</v>
      </c>
      <c r="T11" s="11">
        <v>4.5629999999999997</v>
      </c>
      <c r="U11" s="11">
        <f>D11+E11+F11+G11</f>
        <v>2.4390000000000001</v>
      </c>
      <c r="V11" s="11">
        <v>2.1680000000000001</v>
      </c>
      <c r="W11" s="11"/>
      <c r="X11" s="2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2:37" x14ac:dyDescent="0.2">
      <c r="B12" s="2" t="s">
        <v>27</v>
      </c>
      <c r="D12" s="11">
        <v>15.032999999999999</v>
      </c>
      <c r="E12" s="11">
        <v>15.423</v>
      </c>
      <c r="F12" s="11">
        <v>14.611000000000001</v>
      </c>
      <c r="G12" s="11">
        <v>13.206</v>
      </c>
      <c r="H12" s="11">
        <v>14.957000000000001</v>
      </c>
      <c r="I12" s="11">
        <v>14.898</v>
      </c>
      <c r="J12" s="11">
        <v>15.090999999999999</v>
      </c>
      <c r="K12" s="11">
        <v>15.805999999999999</v>
      </c>
      <c r="L12" s="11"/>
      <c r="M12" s="11"/>
      <c r="N12" s="11"/>
      <c r="O12" s="11"/>
      <c r="P12" s="5"/>
      <c r="Q12" s="11"/>
      <c r="R12" s="11"/>
      <c r="S12" s="11"/>
      <c r="T12" s="11">
        <v>54.719000000000001</v>
      </c>
      <c r="U12" s="11">
        <f>D12+E12+F12+G12</f>
        <v>58.272999999999996</v>
      </c>
      <c r="V12" s="11">
        <v>60.752000000000002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2:37" x14ac:dyDescent="0.2">
      <c r="B13" s="2" t="s">
        <v>28</v>
      </c>
      <c r="D13" s="11">
        <v>7.1130000000000004</v>
      </c>
      <c r="E13" s="11">
        <v>7.33</v>
      </c>
      <c r="F13" s="11">
        <v>7.6070000000000002</v>
      </c>
      <c r="G13" s="11">
        <v>8.1579999999999995</v>
      </c>
      <c r="H13" s="11">
        <v>7.8179999999999996</v>
      </c>
      <c r="I13" s="11">
        <v>7.67</v>
      </c>
      <c r="J13" s="11">
        <v>7.258</v>
      </c>
      <c r="K13" s="11">
        <v>7.5380000000000003</v>
      </c>
      <c r="L13" s="11"/>
      <c r="M13" s="11"/>
      <c r="N13" s="11"/>
      <c r="O13" s="11"/>
      <c r="P13" s="5"/>
      <c r="Q13" s="11"/>
      <c r="R13" s="11"/>
      <c r="S13" s="11"/>
      <c r="T13" s="11">
        <v>29.998999999999999</v>
      </c>
      <c r="U13" s="11">
        <f>D13+E13+F13+G13</f>
        <v>30.207999999999998</v>
      </c>
      <c r="V13" s="11">
        <v>30.283999999999999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2:37" x14ac:dyDescent="0.2">
      <c r="B14" s="17" t="s">
        <v>55</v>
      </c>
      <c r="C14" s="11">
        <f t="shared" ref="C14:J14" si="5">SUM(C10:C13)</f>
        <v>32.046999999999997</v>
      </c>
      <c r="D14" s="11">
        <f t="shared" si="5"/>
        <v>33.756999999999998</v>
      </c>
      <c r="E14" s="11">
        <f t="shared" si="5"/>
        <v>32.302</v>
      </c>
      <c r="F14" s="11">
        <f t="shared" si="5"/>
        <v>34.538000000000004</v>
      </c>
      <c r="G14" s="11">
        <f t="shared" si="5"/>
        <v>34.805</v>
      </c>
      <c r="H14" s="11">
        <f t="shared" si="5"/>
        <v>35.549999999999997</v>
      </c>
      <c r="I14" s="11">
        <f t="shared" si="5"/>
        <v>37.853000000000002</v>
      </c>
      <c r="J14" s="11">
        <f t="shared" si="5"/>
        <v>39.061</v>
      </c>
      <c r="K14" s="11">
        <f>SUM(K10:K13)</f>
        <v>39.146000000000001</v>
      </c>
      <c r="L14" s="11">
        <f>+H14*1.05</f>
        <v>37.327500000000001</v>
      </c>
      <c r="M14" s="11">
        <f t="shared" ref="M14:O14" si="6">+I14*1.05</f>
        <v>39.745650000000005</v>
      </c>
      <c r="N14" s="11">
        <f t="shared" si="6"/>
        <v>41.014050000000005</v>
      </c>
      <c r="O14" s="11">
        <f t="shared" si="6"/>
        <v>41.103300000000004</v>
      </c>
      <c r="P14" s="9"/>
      <c r="Q14" s="11">
        <f>SUM(Q10:Q13)</f>
        <v>117.006</v>
      </c>
      <c r="R14" s="11">
        <f>SUM(R10:R13)</f>
        <v>117.078</v>
      </c>
      <c r="S14" s="11">
        <f>SUM(S10:S11)</f>
        <v>109.373</v>
      </c>
      <c r="T14" s="11">
        <f>SUM(T10:T13)</f>
        <v>113.85899999999999</v>
      </c>
      <c r="U14" s="11">
        <f>SUM(U10:U13)</f>
        <v>135.40199999999999</v>
      </c>
      <c r="V14" s="11">
        <f>SUM(V10:V13)</f>
        <v>151.60999999999999</v>
      </c>
      <c r="W14" s="11">
        <f>+SUM(L14:O14)</f>
        <v>159.19049999999999</v>
      </c>
      <c r="X14" s="11">
        <f t="shared" ref="X14:AK14" si="7">+W14*1.09</f>
        <v>173.51764499999999</v>
      </c>
      <c r="Y14" s="11">
        <f t="shared" si="7"/>
        <v>189.13423305000001</v>
      </c>
      <c r="Z14" s="11">
        <f t="shared" si="7"/>
        <v>206.15631402450003</v>
      </c>
      <c r="AA14" s="11">
        <f t="shared" si="7"/>
        <v>224.71038228670506</v>
      </c>
      <c r="AB14" s="11">
        <f t="shared" si="7"/>
        <v>244.93431669250853</v>
      </c>
      <c r="AC14" s="11">
        <f t="shared" si="7"/>
        <v>266.97840519483429</v>
      </c>
      <c r="AD14" s="11">
        <f t="shared" si="7"/>
        <v>291.00646166236942</v>
      </c>
      <c r="AE14" s="11">
        <f t="shared" si="7"/>
        <v>317.1970432119827</v>
      </c>
      <c r="AF14" s="11">
        <f t="shared" si="7"/>
        <v>345.74477710106117</v>
      </c>
      <c r="AG14" s="11">
        <f t="shared" si="7"/>
        <v>376.86180704015669</v>
      </c>
      <c r="AH14" s="11">
        <f t="shared" si="7"/>
        <v>410.77936967377082</v>
      </c>
      <c r="AI14" s="11">
        <f t="shared" si="7"/>
        <v>447.74951294441024</v>
      </c>
      <c r="AJ14" s="11">
        <f t="shared" si="7"/>
        <v>488.0469691094072</v>
      </c>
      <c r="AK14" s="11">
        <f t="shared" si="7"/>
        <v>531.97119632925387</v>
      </c>
    </row>
    <row r="15" spans="2:37" x14ac:dyDescent="0.2">
      <c r="B15" s="17" t="s">
        <v>54</v>
      </c>
      <c r="C15" s="11">
        <f t="shared" ref="C15:O15" si="8">+C9-C14</f>
        <v>173.90200000000002</v>
      </c>
      <c r="D15" s="11">
        <f t="shared" si="8"/>
        <v>164.22399999999999</v>
      </c>
      <c r="E15" s="11">
        <f t="shared" si="8"/>
        <v>155.75500000000002</v>
      </c>
      <c r="F15" s="11">
        <f t="shared" si="8"/>
        <v>160.536</v>
      </c>
      <c r="G15" s="11">
        <f t="shared" si="8"/>
        <v>169.07799999999997</v>
      </c>
      <c r="H15" s="11">
        <f t="shared" si="8"/>
        <v>162.60000000000002</v>
      </c>
      <c r="I15" s="11">
        <f t="shared" si="8"/>
        <v>163.14400000000001</v>
      </c>
      <c r="J15" s="11">
        <f t="shared" si="8"/>
        <v>177.74699999999999</v>
      </c>
      <c r="K15" s="11">
        <f t="shared" si="8"/>
        <v>184.14600000000002</v>
      </c>
      <c r="L15" s="11">
        <f t="shared" si="8"/>
        <v>178.67250000000001</v>
      </c>
      <c r="M15" s="11">
        <f t="shared" si="8"/>
        <v>181.35105000000001</v>
      </c>
      <c r="N15" s="11">
        <f t="shared" si="8"/>
        <v>197.47475</v>
      </c>
      <c r="O15" s="11">
        <f t="shared" si="8"/>
        <v>204.51790000000005</v>
      </c>
      <c r="P15" s="5"/>
      <c r="Q15" s="11">
        <f t="shared" ref="Q15:AK15" si="9">+Q9-Q14</f>
        <v>593.95100000000002</v>
      </c>
      <c r="R15" s="11">
        <f t="shared" si="9"/>
        <v>553.80700000000002</v>
      </c>
      <c r="S15" s="11">
        <f t="shared" si="9"/>
        <v>614.09899999999993</v>
      </c>
      <c r="T15" s="11">
        <f t="shared" si="9"/>
        <v>655.73199999999997</v>
      </c>
      <c r="U15" s="11">
        <f t="shared" si="9"/>
        <v>649.59300000000007</v>
      </c>
      <c r="V15" s="11">
        <f t="shared" si="9"/>
        <v>687.63699999999994</v>
      </c>
      <c r="W15" s="11">
        <f t="shared" si="9"/>
        <v>754.80950000000007</v>
      </c>
      <c r="X15" s="11">
        <f t="shared" si="9"/>
        <v>831.88235500000008</v>
      </c>
      <c r="Y15" s="11">
        <f t="shared" si="9"/>
        <v>916.80576695000025</v>
      </c>
      <c r="Z15" s="11">
        <f t="shared" si="9"/>
        <v>1010.3776859755003</v>
      </c>
      <c r="AA15" s="11">
        <f t="shared" si="9"/>
        <v>1113.4770177132955</v>
      </c>
      <c r="AB15" s="11">
        <f t="shared" si="9"/>
        <v>1227.0718233074922</v>
      </c>
      <c r="AC15" s="11">
        <f t="shared" si="9"/>
        <v>1352.2283488051664</v>
      </c>
      <c r="AD15" s="11">
        <f t="shared" si="9"/>
        <v>1490.1209677376314</v>
      </c>
      <c r="AE15" s="11">
        <f t="shared" si="9"/>
        <v>1677.6656777160185</v>
      </c>
      <c r="AF15" s="11">
        <f t="shared" si="9"/>
        <v>1888.5014703383004</v>
      </c>
      <c r="AG15" s="11">
        <f t="shared" si="9"/>
        <v>2125.4939900919285</v>
      </c>
      <c r="AH15" s="11">
        <f t="shared" si="9"/>
        <v>2391.859123114165</v>
      </c>
      <c r="AI15" s="11">
        <f t="shared" si="9"/>
        <v>2691.2055989780783</v>
      </c>
      <c r="AJ15" s="11">
        <f t="shared" si="9"/>
        <v>3027.5827562437803</v>
      </c>
      <c r="AK15" s="11">
        <f t="shared" si="9"/>
        <v>3405.5340960663166</v>
      </c>
    </row>
    <row r="16" spans="2:37" x14ac:dyDescent="0.2">
      <c r="B16" s="2" t="s">
        <v>7</v>
      </c>
      <c r="C16" s="11">
        <v>93.138000000000005</v>
      </c>
      <c r="D16" s="11">
        <v>84.918999999999997</v>
      </c>
      <c r="E16" s="11">
        <v>81.299000000000007</v>
      </c>
      <c r="F16" s="11">
        <v>87.343000000000004</v>
      </c>
      <c r="G16" s="11">
        <v>87.221999999999994</v>
      </c>
      <c r="H16" s="11">
        <v>84.126999999999995</v>
      </c>
      <c r="I16" s="11">
        <v>84.712000000000003</v>
      </c>
      <c r="J16" s="11">
        <v>91.697000000000003</v>
      </c>
      <c r="K16" s="11">
        <v>94.457999999999998</v>
      </c>
      <c r="L16" s="11">
        <f>+H16*1.05</f>
        <v>88.333349999999996</v>
      </c>
      <c r="M16" s="11">
        <f t="shared" ref="M16:O16" si="10">+I16*1.05</f>
        <v>88.947600000000008</v>
      </c>
      <c r="N16" s="11">
        <f t="shared" si="10"/>
        <v>96.281850000000006</v>
      </c>
      <c r="O16" s="11">
        <f t="shared" si="10"/>
        <v>99.180900000000008</v>
      </c>
      <c r="P16" s="5"/>
      <c r="Q16" s="11">
        <v>370.08800000000002</v>
      </c>
      <c r="R16" s="11">
        <v>335.78500000000003</v>
      </c>
      <c r="S16" s="11">
        <v>331.94799999999998</v>
      </c>
      <c r="T16" s="11">
        <v>341.64400000000001</v>
      </c>
      <c r="U16" s="11">
        <v>340.78300000000002</v>
      </c>
      <c r="V16" s="11">
        <v>354.99400000000003</v>
      </c>
      <c r="W16" s="11">
        <f>+SUM(L16:O16)</f>
        <v>372.74370000000005</v>
      </c>
      <c r="X16" s="11">
        <f t="shared" ref="X16:AK16" si="11">+W16*1.05</f>
        <v>391.38088500000009</v>
      </c>
      <c r="Y16" s="11">
        <f t="shared" si="11"/>
        <v>410.94992925000014</v>
      </c>
      <c r="Z16" s="11">
        <f t="shared" si="11"/>
        <v>431.49742571250016</v>
      </c>
      <c r="AA16" s="11">
        <f t="shared" si="11"/>
        <v>453.07229699812518</v>
      </c>
      <c r="AB16" s="11">
        <f t="shared" si="11"/>
        <v>475.72591184803144</v>
      </c>
      <c r="AC16" s="11">
        <f t="shared" si="11"/>
        <v>499.51220744043303</v>
      </c>
      <c r="AD16" s="11">
        <f t="shared" si="11"/>
        <v>524.48781781245475</v>
      </c>
      <c r="AE16" s="11">
        <f t="shared" si="11"/>
        <v>550.71220870307752</v>
      </c>
      <c r="AF16" s="11">
        <f t="shared" si="11"/>
        <v>578.24781913823142</v>
      </c>
      <c r="AG16" s="11">
        <f t="shared" si="11"/>
        <v>607.16021009514304</v>
      </c>
      <c r="AH16" s="11">
        <f t="shared" si="11"/>
        <v>637.51822059990025</v>
      </c>
      <c r="AI16" s="11">
        <f t="shared" si="11"/>
        <v>669.39413162989524</v>
      </c>
      <c r="AJ16" s="11">
        <f t="shared" si="11"/>
        <v>702.86383821139009</v>
      </c>
      <c r="AK16" s="11">
        <f t="shared" si="11"/>
        <v>738.00703012195959</v>
      </c>
    </row>
    <row r="17" spans="2:213" x14ac:dyDescent="0.2">
      <c r="B17" s="2" t="s">
        <v>8</v>
      </c>
      <c r="C17" s="11">
        <v>40.497</v>
      </c>
      <c r="D17" s="11">
        <v>40.113</v>
      </c>
      <c r="E17" s="11">
        <v>37.052999999999997</v>
      </c>
      <c r="F17" s="11">
        <v>32.505000000000003</v>
      </c>
      <c r="G17" s="11">
        <v>32.176000000000002</v>
      </c>
      <c r="H17" s="11">
        <v>31.431000000000001</v>
      </c>
      <c r="I17" s="11">
        <v>31.260999999999999</v>
      </c>
      <c r="J17" s="11">
        <v>34.392000000000003</v>
      </c>
      <c r="K17" s="11">
        <v>35.244</v>
      </c>
      <c r="L17" s="11">
        <f>+H17*1.1</f>
        <v>34.574100000000001</v>
      </c>
      <c r="M17" s="11">
        <f t="shared" ref="M17:O17" si="12">+I17*1.1</f>
        <v>34.387100000000004</v>
      </c>
      <c r="N17" s="11">
        <f t="shared" si="12"/>
        <v>37.83120000000001</v>
      </c>
      <c r="O17" s="11">
        <f t="shared" si="12"/>
        <v>38.7684</v>
      </c>
      <c r="P17" s="5"/>
      <c r="Q17" s="11">
        <v>92.647000000000006</v>
      </c>
      <c r="R17" s="11">
        <v>110.02</v>
      </c>
      <c r="S17" s="11">
        <v>133.40100000000001</v>
      </c>
      <c r="T17" s="11">
        <v>153.61500000000001</v>
      </c>
      <c r="U17" s="11">
        <v>141.84700000000001</v>
      </c>
      <c r="V17" s="11">
        <v>132.328</v>
      </c>
      <c r="W17" s="11">
        <f>+SUM(L17:O17)</f>
        <v>145.56080000000003</v>
      </c>
      <c r="X17" s="11">
        <f t="shared" ref="X17:AK17" si="13">+W17*1.1</f>
        <v>160.11688000000004</v>
      </c>
      <c r="Y17" s="11">
        <f t="shared" si="13"/>
        <v>176.12856800000006</v>
      </c>
      <c r="Z17" s="11">
        <f t="shared" si="13"/>
        <v>193.74142480000009</v>
      </c>
      <c r="AA17" s="11">
        <f t="shared" si="13"/>
        <v>213.11556728000011</v>
      </c>
      <c r="AB17" s="11">
        <f t="shared" si="13"/>
        <v>234.42712400800013</v>
      </c>
      <c r="AC17" s="11">
        <f t="shared" si="13"/>
        <v>257.86983640880015</v>
      </c>
      <c r="AD17" s="11">
        <f t="shared" si="13"/>
        <v>283.65682004968022</v>
      </c>
      <c r="AE17" s="11">
        <f t="shared" si="13"/>
        <v>312.02250205464827</v>
      </c>
      <c r="AF17" s="11">
        <f t="shared" si="13"/>
        <v>343.22475226011312</v>
      </c>
      <c r="AG17" s="11">
        <f t="shared" si="13"/>
        <v>377.54722748612448</v>
      </c>
      <c r="AH17" s="11">
        <f t="shared" si="13"/>
        <v>415.30195023473698</v>
      </c>
      <c r="AI17" s="11">
        <f t="shared" si="13"/>
        <v>456.83214525821069</v>
      </c>
      <c r="AJ17" s="11">
        <f t="shared" si="13"/>
        <v>502.51535978403177</v>
      </c>
      <c r="AK17" s="11">
        <f t="shared" si="13"/>
        <v>552.76689576243496</v>
      </c>
      <c r="AL17" s="5"/>
    </row>
    <row r="18" spans="2:213" x14ac:dyDescent="0.2">
      <c r="B18" s="2" t="s">
        <v>9</v>
      </c>
      <c r="C18" s="11">
        <v>22.13</v>
      </c>
      <c r="D18" s="11">
        <v>26.975999999999999</v>
      </c>
      <c r="E18" s="11">
        <v>25.553000000000001</v>
      </c>
      <c r="F18" s="11">
        <v>23.983000000000001</v>
      </c>
      <c r="G18" s="11">
        <v>27.728000000000002</v>
      </c>
      <c r="H18" s="11">
        <v>26.959</v>
      </c>
      <c r="I18" s="11">
        <v>28.001999999999999</v>
      </c>
      <c r="J18" s="11">
        <v>29.097999999999999</v>
      </c>
      <c r="K18" s="11">
        <v>29.937999999999999</v>
      </c>
      <c r="L18" s="11">
        <f>+H18*1.05</f>
        <v>28.306950000000001</v>
      </c>
      <c r="M18" s="11">
        <f t="shared" ref="M18:O18" si="14">+I18*1.05</f>
        <v>29.402100000000001</v>
      </c>
      <c r="N18" s="11">
        <f t="shared" si="14"/>
        <v>30.552900000000001</v>
      </c>
      <c r="O18" s="11">
        <f t="shared" si="14"/>
        <v>31.434899999999999</v>
      </c>
      <c r="P18" s="5"/>
      <c r="Q18" s="11">
        <v>100.946</v>
      </c>
      <c r="R18" s="11">
        <v>92.13</v>
      </c>
      <c r="S18" s="11">
        <v>92.213999999999999</v>
      </c>
      <c r="T18" s="11">
        <v>103.04900000000001</v>
      </c>
      <c r="U18" s="11">
        <v>104.24</v>
      </c>
      <c r="V18" s="11">
        <v>113.997</v>
      </c>
      <c r="W18" s="11">
        <f>+SUM(L18:O18)</f>
        <v>119.69685000000001</v>
      </c>
      <c r="X18" s="11">
        <f t="shared" ref="X18:AK18" si="15">+W18*1.05</f>
        <v>125.68169250000001</v>
      </c>
      <c r="Y18" s="11">
        <f t="shared" si="15"/>
        <v>131.96577712500002</v>
      </c>
      <c r="Z18" s="11">
        <f t="shared" si="15"/>
        <v>138.56406598125002</v>
      </c>
      <c r="AA18" s="11">
        <f t="shared" si="15"/>
        <v>145.49226928031254</v>
      </c>
      <c r="AB18" s="11">
        <f t="shared" si="15"/>
        <v>152.76688274432817</v>
      </c>
      <c r="AC18" s="11">
        <f t="shared" si="15"/>
        <v>160.40522688154459</v>
      </c>
      <c r="AD18" s="11">
        <f t="shared" si="15"/>
        <v>168.42548822562182</v>
      </c>
      <c r="AE18" s="11">
        <f t="shared" si="15"/>
        <v>176.84676263690292</v>
      </c>
      <c r="AF18" s="11">
        <f t="shared" si="15"/>
        <v>185.68910076874809</v>
      </c>
      <c r="AG18" s="11">
        <f t="shared" si="15"/>
        <v>194.97355580718551</v>
      </c>
      <c r="AH18" s="11">
        <f t="shared" si="15"/>
        <v>204.7222335975448</v>
      </c>
      <c r="AI18" s="11">
        <f t="shared" si="15"/>
        <v>214.95834527742204</v>
      </c>
      <c r="AJ18" s="11">
        <f t="shared" si="15"/>
        <v>225.70626254129314</v>
      </c>
      <c r="AK18" s="11">
        <f t="shared" si="15"/>
        <v>236.9915756683578</v>
      </c>
    </row>
    <row r="19" spans="2:213" x14ac:dyDescent="0.2">
      <c r="B19" s="2" t="s">
        <v>10</v>
      </c>
      <c r="C19" s="11">
        <f t="shared" ref="C19:K19" si="16">SUM(C16:C18)</f>
        <v>155.76499999999999</v>
      </c>
      <c r="D19" s="11">
        <f t="shared" si="16"/>
        <v>152.00799999999998</v>
      </c>
      <c r="E19" s="11">
        <f t="shared" si="16"/>
        <v>143.905</v>
      </c>
      <c r="F19" s="11">
        <f t="shared" si="16"/>
        <v>143.83100000000002</v>
      </c>
      <c r="G19" s="11">
        <f t="shared" si="16"/>
        <v>147.126</v>
      </c>
      <c r="H19" s="11">
        <f t="shared" si="16"/>
        <v>142.517</v>
      </c>
      <c r="I19" s="11">
        <f t="shared" si="16"/>
        <v>143.97499999999999</v>
      </c>
      <c r="J19" s="11">
        <f t="shared" si="16"/>
        <v>155.18700000000001</v>
      </c>
      <c r="K19" s="11">
        <f t="shared" si="16"/>
        <v>159.63999999999999</v>
      </c>
      <c r="L19" s="11">
        <f t="shared" ref="L19:O19" si="17">SUM(L16:L18)</f>
        <v>151.21440000000001</v>
      </c>
      <c r="M19" s="11">
        <f t="shared" si="17"/>
        <v>152.73680000000002</v>
      </c>
      <c r="N19" s="11">
        <f t="shared" si="17"/>
        <v>164.66595000000001</v>
      </c>
      <c r="O19" s="11">
        <f t="shared" si="17"/>
        <v>169.38419999999999</v>
      </c>
      <c r="P19" s="5"/>
      <c r="Q19" s="11">
        <f t="shared" ref="Q19:W19" si="18">SUM(Q16:Q18)</f>
        <v>563.68100000000004</v>
      </c>
      <c r="R19" s="11">
        <f t="shared" si="18"/>
        <v>537.93499999999995</v>
      </c>
      <c r="S19" s="11">
        <f t="shared" si="18"/>
        <v>557.56299999999999</v>
      </c>
      <c r="T19" s="11">
        <f t="shared" si="18"/>
        <v>598.30799999999999</v>
      </c>
      <c r="U19" s="11">
        <f t="shared" si="18"/>
        <v>586.87</v>
      </c>
      <c r="V19" s="11">
        <f t="shared" si="18"/>
        <v>601.31899999999996</v>
      </c>
      <c r="W19" s="11">
        <f t="shared" si="18"/>
        <v>638.00135000000012</v>
      </c>
      <c r="X19" s="11">
        <f t="shared" ref="X19:AK19" si="19">SUM(X16:X18)</f>
        <v>677.17945750000013</v>
      </c>
      <c r="Y19" s="11">
        <f t="shared" si="19"/>
        <v>719.04427437500021</v>
      </c>
      <c r="Z19" s="11">
        <f t="shared" si="19"/>
        <v>763.80291649375022</v>
      </c>
      <c r="AA19" s="11">
        <f t="shared" si="19"/>
        <v>811.68013355843777</v>
      </c>
      <c r="AB19" s="11">
        <f t="shared" si="19"/>
        <v>862.91991860035978</v>
      </c>
      <c r="AC19" s="11">
        <f t="shared" si="19"/>
        <v>917.78727073077789</v>
      </c>
      <c r="AD19" s="11">
        <f t="shared" si="19"/>
        <v>976.57012608775676</v>
      </c>
      <c r="AE19" s="11">
        <f t="shared" si="19"/>
        <v>1039.5814733946288</v>
      </c>
      <c r="AF19" s="11">
        <f t="shared" si="19"/>
        <v>1107.1616721670928</v>
      </c>
      <c r="AG19" s="11">
        <f t="shared" si="19"/>
        <v>1179.6809933884531</v>
      </c>
      <c r="AH19" s="11">
        <f t="shared" si="19"/>
        <v>1257.5424044321821</v>
      </c>
      <c r="AI19" s="11">
        <f t="shared" si="19"/>
        <v>1341.184622165528</v>
      </c>
      <c r="AJ19" s="11">
        <f t="shared" si="19"/>
        <v>1431.0854605367151</v>
      </c>
      <c r="AK19" s="11">
        <f t="shared" si="19"/>
        <v>1527.7655015527523</v>
      </c>
    </row>
    <row r="20" spans="2:213" s="6" customFormat="1" x14ac:dyDescent="0.2">
      <c r="B20" s="6" t="s">
        <v>48</v>
      </c>
      <c r="C20" s="19">
        <f t="shared" ref="C20:K20" si="20">+C15-C19</f>
        <v>18.137000000000029</v>
      </c>
      <c r="D20" s="19">
        <f t="shared" si="20"/>
        <v>12.216000000000008</v>
      </c>
      <c r="E20" s="19">
        <f t="shared" si="20"/>
        <v>11.850000000000023</v>
      </c>
      <c r="F20" s="19">
        <f t="shared" si="20"/>
        <v>16.704999999999984</v>
      </c>
      <c r="G20" s="19">
        <f t="shared" si="20"/>
        <v>21.95199999999997</v>
      </c>
      <c r="H20" s="19">
        <f t="shared" si="20"/>
        <v>20.083000000000027</v>
      </c>
      <c r="I20" s="19">
        <f t="shared" si="20"/>
        <v>19.169000000000011</v>
      </c>
      <c r="J20" s="19">
        <f t="shared" si="20"/>
        <v>22.559999999999974</v>
      </c>
      <c r="K20" s="19">
        <f t="shared" si="20"/>
        <v>24.506000000000029</v>
      </c>
      <c r="L20" s="19">
        <f t="shared" ref="L20:O20" si="21">+L15-L19</f>
        <v>27.458100000000002</v>
      </c>
      <c r="M20" s="19">
        <f t="shared" si="21"/>
        <v>28.614249999999998</v>
      </c>
      <c r="N20" s="19">
        <f t="shared" si="21"/>
        <v>32.808799999999991</v>
      </c>
      <c r="O20" s="19">
        <f t="shared" si="21"/>
        <v>35.133700000000061</v>
      </c>
      <c r="P20" s="7"/>
      <c r="Q20" s="19">
        <f t="shared" ref="Q20:AK20" si="22">+Q15-Q19</f>
        <v>30.269999999999982</v>
      </c>
      <c r="R20" s="19">
        <f t="shared" si="22"/>
        <v>15.872000000000071</v>
      </c>
      <c r="S20" s="19">
        <f t="shared" si="22"/>
        <v>56.535999999999945</v>
      </c>
      <c r="T20" s="19">
        <f t="shared" si="22"/>
        <v>57.423999999999978</v>
      </c>
      <c r="U20" s="19">
        <f t="shared" si="22"/>
        <v>62.72300000000007</v>
      </c>
      <c r="V20" s="19">
        <f t="shared" si="22"/>
        <v>86.317999999999984</v>
      </c>
      <c r="W20" s="19">
        <f t="shared" si="22"/>
        <v>116.80814999999996</v>
      </c>
      <c r="X20" s="19">
        <f t="shared" si="22"/>
        <v>154.70289749999995</v>
      </c>
      <c r="Y20" s="19">
        <f t="shared" si="22"/>
        <v>197.76149257500003</v>
      </c>
      <c r="Z20" s="19">
        <f t="shared" si="22"/>
        <v>246.57476948175008</v>
      </c>
      <c r="AA20" s="19">
        <f t="shared" si="22"/>
        <v>301.79688415485771</v>
      </c>
      <c r="AB20" s="19">
        <f t="shared" si="22"/>
        <v>364.15190470713242</v>
      </c>
      <c r="AC20" s="19">
        <f t="shared" si="22"/>
        <v>434.44107807438854</v>
      </c>
      <c r="AD20" s="19">
        <f t="shared" si="22"/>
        <v>513.55084164987466</v>
      </c>
      <c r="AE20" s="19">
        <f t="shared" si="22"/>
        <v>638.08420432138973</v>
      </c>
      <c r="AF20" s="19">
        <f t="shared" si="22"/>
        <v>781.33979817120758</v>
      </c>
      <c r="AG20" s="19">
        <f t="shared" si="22"/>
        <v>945.81299670347539</v>
      </c>
      <c r="AH20" s="19">
        <f t="shared" si="22"/>
        <v>1134.3167186819828</v>
      </c>
      <c r="AI20" s="19">
        <f t="shared" si="22"/>
        <v>1350.0209768125503</v>
      </c>
      <c r="AJ20" s="19">
        <f t="shared" si="22"/>
        <v>1596.4972957070652</v>
      </c>
      <c r="AK20" s="19">
        <f t="shared" si="22"/>
        <v>1877.7685945135643</v>
      </c>
    </row>
    <row r="21" spans="2:213" x14ac:dyDescent="0.2">
      <c r="B21" s="2" t="s">
        <v>11</v>
      </c>
      <c r="C21" s="11">
        <v>0.113</v>
      </c>
      <c r="D21" s="11">
        <v>0.26100000000000001</v>
      </c>
      <c r="E21" s="11">
        <v>0.29099999999999998</v>
      </c>
      <c r="F21" s="11">
        <v>0.36399999999999999</v>
      </c>
      <c r="G21" s="11">
        <v>0.38400000000000001</v>
      </c>
      <c r="H21" s="11">
        <v>0.78</v>
      </c>
      <c r="I21" s="11">
        <v>1.369</v>
      </c>
      <c r="J21" s="11">
        <v>1.381</v>
      </c>
      <c r="K21" s="11">
        <v>1.893</v>
      </c>
      <c r="L21" s="11">
        <v>1</v>
      </c>
      <c r="M21" s="11">
        <v>1</v>
      </c>
      <c r="N21" s="11">
        <v>1</v>
      </c>
      <c r="O21" s="11">
        <v>1</v>
      </c>
      <c r="P21" s="5"/>
      <c r="Q21" s="11">
        <v>5.5190000000000001</v>
      </c>
      <c r="R21" s="11">
        <v>4.9619999999999997</v>
      </c>
      <c r="S21" s="11">
        <v>1.028</v>
      </c>
      <c r="T21" s="11">
        <v>0.65600000000000003</v>
      </c>
      <c r="U21" s="11">
        <v>1.3</v>
      </c>
      <c r="V21" s="11">
        <v>5.423</v>
      </c>
      <c r="W21" s="11">
        <f>+SUM(L21:O21)</f>
        <v>4</v>
      </c>
      <c r="X21" s="11">
        <f t="shared" ref="X21:AK21" si="23">+W41*0.01</f>
        <v>4.3354649499999995</v>
      </c>
      <c r="Y21" s="11">
        <f t="shared" si="23"/>
        <v>5.44582848715</v>
      </c>
      <c r="Z21" s="11">
        <f t="shared" si="23"/>
        <v>6.8653747345850507</v>
      </c>
      <c r="AA21" s="11">
        <f t="shared" si="23"/>
        <v>8.6365507440993969</v>
      </c>
      <c r="AB21" s="11">
        <f t="shared" si="23"/>
        <v>10.806679788392096</v>
      </c>
      <c r="AC21" s="11">
        <f t="shared" si="23"/>
        <v>13.428484879860767</v>
      </c>
      <c r="AD21" s="11">
        <f t="shared" si="23"/>
        <v>16.560666820540511</v>
      </c>
      <c r="AE21" s="11">
        <f t="shared" si="23"/>
        <v>20.26854237983342</v>
      </c>
      <c r="AF21" s="11">
        <f t="shared" si="23"/>
        <v>24.874106606741979</v>
      </c>
      <c r="AG21" s="11">
        <f t="shared" si="23"/>
        <v>30.514698940187628</v>
      </c>
      <c r="AH21" s="11">
        <f t="shared" si="23"/>
        <v>37.346087809693266</v>
      </c>
      <c r="AI21" s="11">
        <f t="shared" si="23"/>
        <v>45.544822455134998</v>
      </c>
      <c r="AJ21" s="11">
        <f t="shared" si="23"/>
        <v>55.310878050008796</v>
      </c>
      <c r="AK21" s="11">
        <f t="shared" si="23"/>
        <v>66.870630266308325</v>
      </c>
    </row>
    <row r="22" spans="2:213" x14ac:dyDescent="0.2">
      <c r="B22" s="2" t="s">
        <v>12</v>
      </c>
      <c r="C22" s="11">
        <v>-0.09</v>
      </c>
      <c r="D22" s="11">
        <v>-0.105</v>
      </c>
      <c r="E22" s="11">
        <v>-0.105</v>
      </c>
      <c r="F22" s="11">
        <v>-0.105</v>
      </c>
      <c r="G22" s="11">
        <v>-0.157</v>
      </c>
      <c r="H22" s="11">
        <v>-9.6000000000000002E-2</v>
      </c>
      <c r="I22" s="11">
        <v>-0.112</v>
      </c>
      <c r="J22" s="11">
        <v>-0.10299999999999999</v>
      </c>
      <c r="K22" s="11">
        <v>-0.104</v>
      </c>
      <c r="L22" s="11">
        <v>-0.104</v>
      </c>
      <c r="M22" s="11">
        <v>-0.104</v>
      </c>
      <c r="N22" s="11">
        <v>-0.104</v>
      </c>
      <c r="O22" s="11">
        <v>-0.104</v>
      </c>
      <c r="P22" s="5"/>
      <c r="Q22" s="11">
        <v>0</v>
      </c>
      <c r="R22" s="11">
        <v>0</v>
      </c>
      <c r="S22" s="11">
        <v>0</v>
      </c>
      <c r="T22" s="11">
        <v>-0.109</v>
      </c>
      <c r="U22" s="11">
        <v>-0.47199999999999998</v>
      </c>
      <c r="V22" s="11">
        <v>-0.41499999999999998</v>
      </c>
      <c r="W22" s="11">
        <f>+SUM(L22:O22)</f>
        <v>-0.41599999999999998</v>
      </c>
      <c r="X22" s="11">
        <v>-0.41499999999999998</v>
      </c>
      <c r="Y22" s="11">
        <v>-0.41499999999999998</v>
      </c>
      <c r="Z22" s="11">
        <v>-0.41499999999999998</v>
      </c>
      <c r="AA22" s="11">
        <v>-0.41499999999999998</v>
      </c>
      <c r="AB22" s="11">
        <v>-0.41499999999999998</v>
      </c>
      <c r="AC22" s="11">
        <v>-0.41499999999999998</v>
      </c>
      <c r="AD22" s="11">
        <v>-0.41499999999999998</v>
      </c>
      <c r="AE22" s="11">
        <v>-0.41499999999999998</v>
      </c>
      <c r="AF22" s="11">
        <v>-0.41499999999999998</v>
      </c>
      <c r="AG22" s="11">
        <v>-0.41499999999999998</v>
      </c>
      <c r="AH22" s="11">
        <v>-0.41499999999999998</v>
      </c>
      <c r="AI22" s="11">
        <v>-0.41499999999999998</v>
      </c>
      <c r="AJ22" s="11">
        <v>-0.41499999999999998</v>
      </c>
      <c r="AK22" s="11">
        <v>-0.41499999999999998</v>
      </c>
    </row>
    <row r="23" spans="2:213" x14ac:dyDescent="0.2">
      <c r="B23" s="41" t="s">
        <v>73</v>
      </c>
      <c r="C23" s="11">
        <v>0.73699999999999999</v>
      </c>
      <c r="D23" s="11">
        <v>-0.38900000000000001</v>
      </c>
      <c r="E23" s="11">
        <v>0.154</v>
      </c>
      <c r="F23" s="11">
        <v>0.123</v>
      </c>
      <c r="G23" s="11">
        <v>-0.193</v>
      </c>
      <c r="H23" s="11">
        <v>0.34100000000000003</v>
      </c>
      <c r="I23" s="11">
        <v>-0.154</v>
      </c>
      <c r="J23" s="11">
        <v>-1.2999999999999999E-2</v>
      </c>
      <c r="K23" s="11">
        <v>3.0760000000000001</v>
      </c>
      <c r="L23" s="11">
        <v>0</v>
      </c>
      <c r="M23" s="11">
        <v>0</v>
      </c>
      <c r="N23" s="11">
        <v>0</v>
      </c>
      <c r="O23" s="11">
        <v>0</v>
      </c>
      <c r="P23" s="5"/>
      <c r="Q23" s="11">
        <v>0</v>
      </c>
      <c r="R23" s="11">
        <v>0</v>
      </c>
      <c r="S23" s="11">
        <v>0</v>
      </c>
      <c r="T23" s="11">
        <v>1.3009999999999999</v>
      </c>
      <c r="U23" s="11">
        <v>-0.30499999999999999</v>
      </c>
      <c r="V23" s="11">
        <v>3.25</v>
      </c>
      <c r="W23" s="11">
        <f>+SUM(L23:O23)</f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</row>
    <row r="24" spans="2:213" x14ac:dyDescent="0.2">
      <c r="B24" s="2" t="s">
        <v>13</v>
      </c>
      <c r="C24" s="11">
        <f t="shared" ref="C24:J24" si="24">+C20+C21+C22+C23</f>
        <v>18.897000000000027</v>
      </c>
      <c r="D24" s="11">
        <f t="shared" si="24"/>
        <v>11.983000000000008</v>
      </c>
      <c r="E24" s="11">
        <f t="shared" si="24"/>
        <v>12.190000000000023</v>
      </c>
      <c r="F24" s="11">
        <f t="shared" si="24"/>
        <v>17.086999999999986</v>
      </c>
      <c r="G24" s="11">
        <f t="shared" si="24"/>
        <v>21.985999999999969</v>
      </c>
      <c r="H24" s="11">
        <f t="shared" si="24"/>
        <v>21.108000000000029</v>
      </c>
      <c r="I24" s="11">
        <f t="shared" si="24"/>
        <v>20.272000000000013</v>
      </c>
      <c r="J24" s="11">
        <f t="shared" si="24"/>
        <v>23.824999999999971</v>
      </c>
      <c r="K24" s="11">
        <f t="shared" ref="K24:O24" si="25">+K20+K21+K22+K23</f>
        <v>29.371000000000031</v>
      </c>
      <c r="L24" s="11">
        <f t="shared" si="25"/>
        <v>28.354100000000003</v>
      </c>
      <c r="M24" s="11">
        <f t="shared" si="25"/>
        <v>29.510249999999999</v>
      </c>
      <c r="N24" s="11">
        <f t="shared" si="25"/>
        <v>33.704799999999992</v>
      </c>
      <c r="O24" s="11">
        <f t="shared" si="25"/>
        <v>36.029700000000062</v>
      </c>
      <c r="P24" s="5"/>
      <c r="Q24" s="11">
        <f t="shared" ref="Q24:W24" si="26">+Q20+Q21+Q22+Q23</f>
        <v>35.78899999999998</v>
      </c>
      <c r="R24" s="11">
        <f t="shared" si="26"/>
        <v>20.834000000000071</v>
      </c>
      <c r="S24" s="11">
        <f t="shared" si="26"/>
        <v>57.563999999999943</v>
      </c>
      <c r="T24" s="11">
        <f t="shared" si="26"/>
        <v>59.271999999999977</v>
      </c>
      <c r="U24" s="11">
        <f t="shared" si="26"/>
        <v>63.246000000000066</v>
      </c>
      <c r="V24" s="11">
        <f t="shared" si="26"/>
        <v>94.575999999999979</v>
      </c>
      <c r="W24" s="11">
        <f t="shared" si="26"/>
        <v>120.39214999999996</v>
      </c>
      <c r="X24" s="11">
        <f t="shared" ref="X24:AK24" si="27">+X20+X21+X22+X23</f>
        <v>158.62336244999995</v>
      </c>
      <c r="Y24" s="11">
        <f t="shared" si="27"/>
        <v>202.79232106215005</v>
      </c>
      <c r="Z24" s="11">
        <f t="shared" si="27"/>
        <v>253.02514421633515</v>
      </c>
      <c r="AA24" s="11">
        <f t="shared" si="27"/>
        <v>310.01843489895708</v>
      </c>
      <c r="AB24" s="11">
        <f t="shared" si="27"/>
        <v>374.5435844955245</v>
      </c>
      <c r="AC24" s="11">
        <f t="shared" si="27"/>
        <v>447.4545629542493</v>
      </c>
      <c r="AD24" s="11">
        <f t="shared" si="27"/>
        <v>529.69650847041521</v>
      </c>
      <c r="AE24" s="11">
        <f t="shared" si="27"/>
        <v>657.9377467012232</v>
      </c>
      <c r="AF24" s="11">
        <f t="shared" si="27"/>
        <v>805.79890477794959</v>
      </c>
      <c r="AG24" s="11">
        <f t="shared" si="27"/>
        <v>975.91269564366303</v>
      </c>
      <c r="AH24" s="11">
        <f t="shared" si="27"/>
        <v>1171.2478064916761</v>
      </c>
      <c r="AI24" s="11">
        <f t="shared" si="27"/>
        <v>1395.1507992676854</v>
      </c>
      <c r="AJ24" s="11">
        <f t="shared" si="27"/>
        <v>1651.393173757074</v>
      </c>
      <c r="AK24" s="11">
        <f t="shared" si="27"/>
        <v>1944.2242247798727</v>
      </c>
    </row>
    <row r="25" spans="2:213" x14ac:dyDescent="0.2">
      <c r="B25" s="2" t="s">
        <v>14</v>
      </c>
      <c r="C25" s="11">
        <v>4.2169999999999996</v>
      </c>
      <c r="D25" s="11">
        <v>3.7050000000000001</v>
      </c>
      <c r="E25" s="11">
        <v>5.1349999999999998</v>
      </c>
      <c r="F25" s="11">
        <v>5.71</v>
      </c>
      <c r="G25" s="11">
        <v>5.8620000000000001</v>
      </c>
      <c r="H25" s="11">
        <v>6.8760000000000003</v>
      </c>
      <c r="I25" s="11">
        <v>5.72</v>
      </c>
      <c r="J25" s="11">
        <v>5.1760000000000002</v>
      </c>
      <c r="K25" s="11">
        <v>-103.065</v>
      </c>
      <c r="L25" s="11">
        <f>+L24*0.3</f>
        <v>8.5062300000000004</v>
      </c>
      <c r="M25" s="11">
        <f t="shared" ref="M25:O25" si="28">+M24*0.3</f>
        <v>8.8530749999999987</v>
      </c>
      <c r="N25" s="11">
        <f t="shared" si="28"/>
        <v>10.111439999999996</v>
      </c>
      <c r="O25" s="11">
        <f t="shared" si="28"/>
        <v>10.808910000000019</v>
      </c>
      <c r="P25" s="5"/>
      <c r="Q25" s="11">
        <v>6.8659999999999997</v>
      </c>
      <c r="R25" s="11">
        <v>-6.9009999999999998</v>
      </c>
      <c r="S25" s="11">
        <v>9.7189999999999994</v>
      </c>
      <c r="T25" s="11">
        <v>9.7899999999999991</v>
      </c>
      <c r="U25" s="11">
        <v>20.411999999999999</v>
      </c>
      <c r="V25" s="11">
        <v>-85.293000000000006</v>
      </c>
      <c r="W25" s="11">
        <f>+SUM(L25:O25)</f>
        <v>38.279655000000012</v>
      </c>
      <c r="X25" s="11">
        <f t="shared" ref="X25:AK25" si="29">+X24*0.3</f>
        <v>47.587008734999984</v>
      </c>
      <c r="Y25" s="11">
        <f t="shared" si="29"/>
        <v>60.837696318645015</v>
      </c>
      <c r="Z25" s="11">
        <f t="shared" si="29"/>
        <v>75.907543264900539</v>
      </c>
      <c r="AA25" s="11">
        <f t="shared" si="29"/>
        <v>93.005530469687116</v>
      </c>
      <c r="AB25" s="11">
        <f t="shared" si="29"/>
        <v>112.36307534865735</v>
      </c>
      <c r="AC25" s="11">
        <f t="shared" si="29"/>
        <v>134.23636888627479</v>
      </c>
      <c r="AD25" s="11">
        <f t="shared" si="29"/>
        <v>158.90895254112456</v>
      </c>
      <c r="AE25" s="11">
        <f t="shared" si="29"/>
        <v>197.38132401036697</v>
      </c>
      <c r="AF25" s="11">
        <f t="shared" si="29"/>
        <v>241.73967143338487</v>
      </c>
      <c r="AG25" s="11">
        <f t="shared" si="29"/>
        <v>292.77380869309889</v>
      </c>
      <c r="AH25" s="11">
        <f t="shared" si="29"/>
        <v>351.37434194750284</v>
      </c>
      <c r="AI25" s="11">
        <f t="shared" si="29"/>
        <v>418.54523978030562</v>
      </c>
      <c r="AJ25" s="11">
        <f t="shared" si="29"/>
        <v>495.41795212712219</v>
      </c>
      <c r="AK25" s="11">
        <f t="shared" si="29"/>
        <v>583.26726743396182</v>
      </c>
    </row>
    <row r="26" spans="2:213" s="6" customFormat="1" x14ac:dyDescent="0.2">
      <c r="B26" s="6" t="s">
        <v>15</v>
      </c>
      <c r="C26" s="19">
        <f t="shared" ref="C26:J26" si="30">+C24-C25</f>
        <v>14.680000000000028</v>
      </c>
      <c r="D26" s="19">
        <f t="shared" si="30"/>
        <v>8.2780000000000076</v>
      </c>
      <c r="E26" s="19">
        <f t="shared" si="30"/>
        <v>7.0550000000000228</v>
      </c>
      <c r="F26" s="19">
        <f t="shared" si="30"/>
        <v>11.376999999999985</v>
      </c>
      <c r="G26" s="19">
        <f t="shared" si="30"/>
        <v>16.123999999999967</v>
      </c>
      <c r="H26" s="19">
        <f t="shared" si="30"/>
        <v>14.232000000000028</v>
      </c>
      <c r="I26" s="19">
        <f t="shared" si="30"/>
        <v>14.552000000000014</v>
      </c>
      <c r="J26" s="19">
        <f t="shared" si="30"/>
        <v>18.648999999999972</v>
      </c>
      <c r="K26" s="19">
        <f>+K24-K25</f>
        <v>132.43600000000004</v>
      </c>
      <c r="L26" s="19">
        <f t="shared" ref="L26:O26" si="31">+L24-L25</f>
        <v>19.84787</v>
      </c>
      <c r="M26" s="19">
        <f t="shared" si="31"/>
        <v>20.657175000000002</v>
      </c>
      <c r="N26" s="19">
        <f t="shared" si="31"/>
        <v>23.593359999999997</v>
      </c>
      <c r="O26" s="19">
        <f t="shared" si="31"/>
        <v>25.220790000000044</v>
      </c>
      <c r="P26" s="7"/>
      <c r="Q26" s="19">
        <f t="shared" ref="Q26:W26" si="32">+Q24-Q25</f>
        <v>28.922999999999981</v>
      </c>
      <c r="R26" s="19">
        <f t="shared" si="32"/>
        <v>27.73500000000007</v>
      </c>
      <c r="S26" s="19">
        <f t="shared" si="32"/>
        <v>47.844999999999942</v>
      </c>
      <c r="T26" s="19">
        <f t="shared" si="32"/>
        <v>49.481999999999978</v>
      </c>
      <c r="U26" s="19">
        <f t="shared" si="32"/>
        <v>42.834000000000067</v>
      </c>
      <c r="V26" s="19">
        <f t="shared" si="32"/>
        <v>179.86899999999997</v>
      </c>
      <c r="W26" s="19">
        <f t="shared" si="32"/>
        <v>82.112494999999939</v>
      </c>
      <c r="X26" s="19">
        <f t="shared" ref="X26:AK26" si="33">+X24-X25</f>
        <v>111.03635371499996</v>
      </c>
      <c r="Y26" s="19">
        <f t="shared" si="33"/>
        <v>141.95462474350504</v>
      </c>
      <c r="Z26" s="19">
        <f t="shared" si="33"/>
        <v>177.11760095143461</v>
      </c>
      <c r="AA26" s="19">
        <f t="shared" si="33"/>
        <v>217.01290442926995</v>
      </c>
      <c r="AB26" s="19">
        <f t="shared" si="33"/>
        <v>262.18050914686717</v>
      </c>
      <c r="AC26" s="19">
        <f t="shared" si="33"/>
        <v>313.21819406797454</v>
      </c>
      <c r="AD26" s="19">
        <f t="shared" si="33"/>
        <v>370.78755592929065</v>
      </c>
      <c r="AE26" s="19">
        <f t="shared" si="33"/>
        <v>460.55642269085627</v>
      </c>
      <c r="AF26" s="19">
        <f t="shared" si="33"/>
        <v>564.05923334456475</v>
      </c>
      <c r="AG26" s="19">
        <f t="shared" si="33"/>
        <v>683.13888695056414</v>
      </c>
      <c r="AH26" s="19">
        <f t="shared" si="33"/>
        <v>819.8734645441732</v>
      </c>
      <c r="AI26" s="19">
        <f t="shared" si="33"/>
        <v>976.60555948737988</v>
      </c>
      <c r="AJ26" s="19">
        <f t="shared" si="33"/>
        <v>1155.9752216299519</v>
      </c>
      <c r="AK26" s="19">
        <f t="shared" si="33"/>
        <v>1360.9569573459107</v>
      </c>
      <c r="AL26" s="19">
        <f>+AK26*(1+$AN$42)</f>
        <v>1320.1282486255334</v>
      </c>
      <c r="AM26" s="19">
        <f t="shared" ref="AM26:CX26" si="34">+AL26*(1+$AN$42)</f>
        <v>1280.5244011667673</v>
      </c>
      <c r="AN26" s="19">
        <f t="shared" si="34"/>
        <v>1242.1086691317644</v>
      </c>
      <c r="AO26" s="19">
        <f t="shared" si="34"/>
        <v>1204.8454090578114</v>
      </c>
      <c r="AP26" s="19">
        <f t="shared" si="34"/>
        <v>1168.7000467860769</v>
      </c>
      <c r="AQ26" s="19">
        <f t="shared" si="34"/>
        <v>1133.6390453824945</v>
      </c>
      <c r="AR26" s="19">
        <f t="shared" si="34"/>
        <v>1099.6298740210195</v>
      </c>
      <c r="AS26" s="19">
        <f t="shared" si="34"/>
        <v>1066.640977800389</v>
      </c>
      <c r="AT26" s="19">
        <f t="shared" si="34"/>
        <v>1034.6417484663773</v>
      </c>
      <c r="AU26" s="19">
        <f t="shared" si="34"/>
        <v>1003.6024960123859</v>
      </c>
      <c r="AV26" s="19">
        <f t="shared" si="34"/>
        <v>973.49442113201428</v>
      </c>
      <c r="AW26" s="19">
        <f t="shared" si="34"/>
        <v>944.28958849805383</v>
      </c>
      <c r="AX26" s="19">
        <f t="shared" si="34"/>
        <v>915.9609008431122</v>
      </c>
      <c r="AY26" s="19">
        <f t="shared" si="34"/>
        <v>888.48207381781879</v>
      </c>
      <c r="AZ26" s="19">
        <f t="shared" si="34"/>
        <v>861.82761160328425</v>
      </c>
      <c r="BA26" s="19">
        <f t="shared" si="34"/>
        <v>835.97278325518573</v>
      </c>
      <c r="BB26" s="19">
        <f t="shared" si="34"/>
        <v>810.89359975753018</v>
      </c>
      <c r="BC26" s="19">
        <f t="shared" si="34"/>
        <v>786.56679176480429</v>
      </c>
      <c r="BD26" s="19">
        <f t="shared" si="34"/>
        <v>762.96978801186015</v>
      </c>
      <c r="BE26" s="19">
        <f t="shared" si="34"/>
        <v>740.08069437150436</v>
      </c>
      <c r="BF26" s="19">
        <f t="shared" si="34"/>
        <v>717.87827354035926</v>
      </c>
      <c r="BG26" s="19">
        <f t="shared" si="34"/>
        <v>696.34192533414841</v>
      </c>
      <c r="BH26" s="19">
        <f t="shared" si="34"/>
        <v>675.45166757412392</v>
      </c>
      <c r="BI26" s="19">
        <f t="shared" si="34"/>
        <v>655.18811754690023</v>
      </c>
      <c r="BJ26" s="19">
        <f t="shared" si="34"/>
        <v>635.53247402049317</v>
      </c>
      <c r="BK26" s="19">
        <f t="shared" si="34"/>
        <v>616.46649979987831</v>
      </c>
      <c r="BL26" s="19">
        <f t="shared" si="34"/>
        <v>597.97250480588195</v>
      </c>
      <c r="BM26" s="19">
        <f t="shared" si="34"/>
        <v>580.03332966170547</v>
      </c>
      <c r="BN26" s="19">
        <f t="shared" si="34"/>
        <v>562.6323297718543</v>
      </c>
      <c r="BO26" s="19">
        <f t="shared" si="34"/>
        <v>545.75335987869869</v>
      </c>
      <c r="BP26" s="19">
        <f t="shared" si="34"/>
        <v>529.3807590823377</v>
      </c>
      <c r="BQ26" s="19">
        <f t="shared" si="34"/>
        <v>513.49933630986754</v>
      </c>
      <c r="BR26" s="19">
        <f t="shared" si="34"/>
        <v>498.09435622057151</v>
      </c>
      <c r="BS26" s="19">
        <f t="shared" si="34"/>
        <v>483.15152553395433</v>
      </c>
      <c r="BT26" s="19">
        <f t="shared" si="34"/>
        <v>468.6569797679357</v>
      </c>
      <c r="BU26" s="19">
        <f t="shared" si="34"/>
        <v>454.59727037489762</v>
      </c>
      <c r="BV26" s="19">
        <f t="shared" si="34"/>
        <v>440.95935226365066</v>
      </c>
      <c r="BW26" s="19">
        <f t="shared" si="34"/>
        <v>427.73057169574111</v>
      </c>
      <c r="BX26" s="19">
        <f t="shared" si="34"/>
        <v>414.89865454486886</v>
      </c>
      <c r="BY26" s="19">
        <f t="shared" si="34"/>
        <v>402.45169490852277</v>
      </c>
      <c r="BZ26" s="19">
        <f t="shared" si="34"/>
        <v>390.37814406126705</v>
      </c>
      <c r="CA26" s="19">
        <f t="shared" si="34"/>
        <v>378.66679973942905</v>
      </c>
      <c r="CB26" s="19">
        <f t="shared" si="34"/>
        <v>367.30679574724616</v>
      </c>
      <c r="CC26" s="19">
        <f t="shared" si="34"/>
        <v>356.28759187482876</v>
      </c>
      <c r="CD26" s="19">
        <f t="shared" si="34"/>
        <v>345.59896411858387</v>
      </c>
      <c r="CE26" s="19">
        <f t="shared" si="34"/>
        <v>335.23099519502637</v>
      </c>
      <c r="CF26" s="19">
        <f t="shared" si="34"/>
        <v>325.17406533917557</v>
      </c>
      <c r="CG26" s="19">
        <f t="shared" si="34"/>
        <v>315.41884337900029</v>
      </c>
      <c r="CH26" s="19">
        <f t="shared" si="34"/>
        <v>305.95627807763026</v>
      </c>
      <c r="CI26" s="19">
        <f t="shared" si="34"/>
        <v>296.77758973530132</v>
      </c>
      <c r="CJ26" s="19">
        <f t="shared" si="34"/>
        <v>287.87426204324225</v>
      </c>
      <c r="CK26" s="19">
        <f t="shared" si="34"/>
        <v>279.23803418194495</v>
      </c>
      <c r="CL26" s="19">
        <f t="shared" si="34"/>
        <v>270.86089315648661</v>
      </c>
      <c r="CM26" s="19">
        <f t="shared" si="34"/>
        <v>262.73506636179201</v>
      </c>
      <c r="CN26" s="19">
        <f t="shared" si="34"/>
        <v>254.85301437093824</v>
      </c>
      <c r="CO26" s="19">
        <f t="shared" si="34"/>
        <v>247.2074239398101</v>
      </c>
      <c r="CP26" s="19">
        <f t="shared" si="34"/>
        <v>239.79120122161578</v>
      </c>
      <c r="CQ26" s="19">
        <f t="shared" si="34"/>
        <v>232.59746518496729</v>
      </c>
      <c r="CR26" s="19">
        <f t="shared" si="34"/>
        <v>225.61954122941827</v>
      </c>
      <c r="CS26" s="19">
        <f t="shared" si="34"/>
        <v>218.85095499253572</v>
      </c>
      <c r="CT26" s="19">
        <f t="shared" si="34"/>
        <v>212.28542634275965</v>
      </c>
      <c r="CU26" s="19">
        <f t="shared" si="34"/>
        <v>205.91686355247685</v>
      </c>
      <c r="CV26" s="19">
        <f t="shared" si="34"/>
        <v>199.73935764590254</v>
      </c>
      <c r="CW26" s="19">
        <f t="shared" si="34"/>
        <v>193.74717691652546</v>
      </c>
      <c r="CX26" s="19">
        <f t="shared" si="34"/>
        <v>187.93476160902969</v>
      </c>
      <c r="CY26" s="19">
        <f t="shared" ref="CY26:EH26" si="35">+CX26*(1+$AN$42)</f>
        <v>182.29671876075881</v>
      </c>
      <c r="CZ26" s="19">
        <f t="shared" si="35"/>
        <v>176.82781719793604</v>
      </c>
      <c r="DA26" s="19">
        <f t="shared" si="35"/>
        <v>171.52298268199795</v>
      </c>
      <c r="DB26" s="19">
        <f t="shared" si="35"/>
        <v>166.37729320153801</v>
      </c>
      <c r="DC26" s="19">
        <f t="shared" si="35"/>
        <v>161.38597440549185</v>
      </c>
      <c r="DD26" s="19">
        <f t="shared" si="35"/>
        <v>156.5443951733271</v>
      </c>
      <c r="DE26" s="19">
        <f t="shared" si="35"/>
        <v>151.84806331812729</v>
      </c>
      <c r="DF26" s="19">
        <f t="shared" si="35"/>
        <v>147.29262141858345</v>
      </c>
      <c r="DG26" s="19">
        <f t="shared" si="35"/>
        <v>142.87384277602595</v>
      </c>
      <c r="DH26" s="19">
        <f t="shared" si="35"/>
        <v>138.58762749274516</v>
      </c>
      <c r="DI26" s="19">
        <f t="shared" si="35"/>
        <v>134.42999866796279</v>
      </c>
      <c r="DJ26" s="19">
        <f t="shared" si="35"/>
        <v>130.3970987079239</v>
      </c>
      <c r="DK26" s="19">
        <f t="shared" si="35"/>
        <v>126.48518574668618</v>
      </c>
      <c r="DL26" s="19">
        <f t="shared" si="35"/>
        <v>122.6906301742856</v>
      </c>
      <c r="DM26" s="19">
        <f t="shared" si="35"/>
        <v>119.00991126905703</v>
      </c>
      <c r="DN26" s="19">
        <f t="shared" si="35"/>
        <v>115.43961393098532</v>
      </c>
      <c r="DO26" s="19">
        <f t="shared" si="35"/>
        <v>111.97642551305576</v>
      </c>
      <c r="DP26" s="19">
        <f t="shared" si="35"/>
        <v>108.61713274766409</v>
      </c>
      <c r="DQ26" s="19">
        <f t="shared" si="35"/>
        <v>105.35861876523416</v>
      </c>
      <c r="DR26" s="19">
        <f t="shared" si="35"/>
        <v>102.19786020227713</v>
      </c>
      <c r="DS26" s="19">
        <f t="shared" si="35"/>
        <v>99.131924396208817</v>
      </c>
      <c r="DT26" s="19">
        <f t="shared" si="35"/>
        <v>96.157966664322544</v>
      </c>
      <c r="DU26" s="19">
        <f t="shared" si="35"/>
        <v>93.273227664392863</v>
      </c>
      <c r="DV26" s="19">
        <f t="shared" si="35"/>
        <v>90.47503083446108</v>
      </c>
      <c r="DW26" s="19">
        <f t="shared" si="35"/>
        <v>87.760779909427242</v>
      </c>
      <c r="DX26" s="19">
        <f t="shared" si="35"/>
        <v>85.127956512144422</v>
      </c>
      <c r="DY26" s="19">
        <f t="shared" si="35"/>
        <v>82.574117816780088</v>
      </c>
      <c r="DZ26" s="19">
        <f t="shared" si="35"/>
        <v>80.096894282276679</v>
      </c>
      <c r="EA26" s="19">
        <f t="shared" si="35"/>
        <v>77.693987453808376</v>
      </c>
      <c r="EB26" s="19">
        <f t="shared" si="35"/>
        <v>75.363167830194129</v>
      </c>
      <c r="EC26" s="19">
        <f t="shared" si="35"/>
        <v>73.1022727952883</v>
      </c>
      <c r="ED26" s="19">
        <f t="shared" si="35"/>
        <v>70.909204611429644</v>
      </c>
      <c r="EE26" s="19">
        <f t="shared" si="35"/>
        <v>68.781928473086751</v>
      </c>
      <c r="EF26" s="19">
        <f t="shared" si="35"/>
        <v>66.718470618894145</v>
      </c>
      <c r="EG26" s="19">
        <f t="shared" si="35"/>
        <v>64.716916500327315</v>
      </c>
      <c r="EH26" s="19">
        <f t="shared" si="35"/>
        <v>62.775409005317492</v>
      </c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</row>
    <row r="27" spans="2:213" s="10" customFormat="1" x14ac:dyDescent="0.2">
      <c r="B27" s="10" t="s">
        <v>16</v>
      </c>
      <c r="C27" s="10">
        <f t="shared" ref="C27:I27" si="36">+C26/C28</f>
        <v>0.32024432809773185</v>
      </c>
      <c r="D27" s="10">
        <f t="shared" si="36"/>
        <v>0.18048620952796265</v>
      </c>
      <c r="E27" s="10">
        <f t="shared" si="36"/>
        <v>0.15491875274484021</v>
      </c>
      <c r="F27" s="10">
        <f t="shared" si="36"/>
        <v>0.25445070674539239</v>
      </c>
      <c r="G27" s="10">
        <f t="shared" si="36"/>
        <v>0.36285077750523143</v>
      </c>
      <c r="H27" s="10">
        <f t="shared" si="36"/>
        <v>0.31644246803779941</v>
      </c>
      <c r="I27" s="10">
        <f t="shared" si="36"/>
        <v>0.32407634233792876</v>
      </c>
      <c r="J27" s="10">
        <f>+J26/J28</f>
        <v>0.41628161342887054</v>
      </c>
      <c r="K27" s="10">
        <f>+K26/K28</f>
        <v>2.9364966740576506</v>
      </c>
      <c r="L27" s="10">
        <f t="shared" ref="L27:O27" si="37">+L26/L28</f>
        <v>0.44008580931263858</v>
      </c>
      <c r="M27" s="10">
        <f t="shared" si="37"/>
        <v>0.45803048780487809</v>
      </c>
      <c r="N27" s="10">
        <f t="shared" si="37"/>
        <v>0.52313436807095337</v>
      </c>
      <c r="O27" s="10">
        <f t="shared" si="37"/>
        <v>0.5592192904656329</v>
      </c>
      <c r="Q27" s="10">
        <f t="shared" ref="Q27:V27" si="38">+Q26/Q28</f>
        <v>0.60761328543517956</v>
      </c>
      <c r="R27" s="10">
        <f t="shared" si="38"/>
        <v>0.60566025375057475</v>
      </c>
      <c r="S27" s="10">
        <f t="shared" si="38"/>
        <v>1.0255723227299995</v>
      </c>
      <c r="T27" s="10">
        <f t="shared" si="38"/>
        <v>1.047903430749682</v>
      </c>
      <c r="U27" s="10">
        <f t="shared" si="38"/>
        <v>0.95902740462117286</v>
      </c>
      <c r="V27" s="10">
        <f t="shared" si="38"/>
        <v>4.0239149888143171</v>
      </c>
      <c r="W27" s="10">
        <f t="shared" ref="W27:AK27" si="39">+W26/W28</f>
        <v>1.7701999525718952</v>
      </c>
      <c r="X27" s="10">
        <f t="shared" si="39"/>
        <v>2.4240675572744057</v>
      </c>
      <c r="Y27" s="10">
        <f t="shared" si="39"/>
        <v>3.0910501768886482</v>
      </c>
      <c r="Z27" s="10">
        <f t="shared" si="39"/>
        <v>3.8709863751199776</v>
      </c>
      <c r="AA27" s="10">
        <f t="shared" si="39"/>
        <v>4.7699295241799051</v>
      </c>
      <c r="AB27" s="10">
        <f t="shared" si="39"/>
        <v>5.7352003581478259</v>
      </c>
      <c r="AC27" s="10">
        <f t="shared" si="39"/>
        <v>6.8278707886991477</v>
      </c>
      <c r="AD27" s="10">
        <f t="shared" si="39"/>
        <v>8.1065713375041621</v>
      </c>
      <c r="AE27" s="10">
        <f t="shared" si="39"/>
        <v>10.066219494170907</v>
      </c>
      <c r="AF27" s="10">
        <f t="shared" si="39"/>
        <v>12.338436335438773</v>
      </c>
      <c r="AG27" s="10">
        <f t="shared" si="39"/>
        <v>14.943390644371799</v>
      </c>
      <c r="AH27" s="10">
        <f t="shared" si="39"/>
        <v>17.917193136632729</v>
      </c>
      <c r="AI27" s="10">
        <f t="shared" si="39"/>
        <v>21.342275825882034</v>
      </c>
      <c r="AJ27" s="10">
        <f t="shared" si="39"/>
        <v>25.274778155628137</v>
      </c>
      <c r="AK27" s="10">
        <f t="shared" si="39"/>
        <v>29.753982542150041</v>
      </c>
    </row>
    <row r="28" spans="2:213" s="11" customFormat="1" x14ac:dyDescent="0.2">
      <c r="B28" s="11" t="s">
        <v>17</v>
      </c>
      <c r="C28" s="11">
        <v>45.84</v>
      </c>
      <c r="D28" s="11">
        <v>45.865000000000002</v>
      </c>
      <c r="E28" s="11">
        <v>45.54</v>
      </c>
      <c r="F28" s="11">
        <v>44.712000000000003</v>
      </c>
      <c r="G28" s="11">
        <v>44.436999999999998</v>
      </c>
      <c r="H28" s="11">
        <v>44.975000000000001</v>
      </c>
      <c r="I28" s="11">
        <v>44.902999999999999</v>
      </c>
      <c r="J28" s="11">
        <v>44.798999999999999</v>
      </c>
      <c r="K28" s="11">
        <v>45.1</v>
      </c>
      <c r="L28" s="11">
        <v>45.1</v>
      </c>
      <c r="M28" s="11">
        <v>45.1</v>
      </c>
      <c r="N28" s="11">
        <v>45.1</v>
      </c>
      <c r="O28" s="11">
        <v>45.1</v>
      </c>
      <c r="Q28" s="11">
        <v>47.600999999999999</v>
      </c>
      <c r="R28" s="11">
        <v>45.792999999999999</v>
      </c>
      <c r="S28" s="11">
        <v>46.652000000000001</v>
      </c>
      <c r="T28" s="11">
        <v>47.22</v>
      </c>
      <c r="U28" s="11">
        <v>44.664000000000001</v>
      </c>
      <c r="V28" s="11">
        <v>44.7</v>
      </c>
      <c r="W28" s="11">
        <f>AVERAGE(Q28:U28)</f>
        <v>46.386000000000003</v>
      </c>
      <c r="X28" s="11">
        <f t="shared" ref="X28:AK28" si="40">AVERAGE(R28:V28)</f>
        <v>45.805799999999998</v>
      </c>
      <c r="Y28" s="11">
        <f t="shared" si="40"/>
        <v>45.924399999999999</v>
      </c>
      <c r="Z28" s="11">
        <f t="shared" si="40"/>
        <v>45.755160000000004</v>
      </c>
      <c r="AA28" s="11">
        <f t="shared" si="40"/>
        <v>45.496040000000001</v>
      </c>
      <c r="AB28" s="11">
        <f t="shared" si="40"/>
        <v>45.714272000000008</v>
      </c>
      <c r="AC28" s="11">
        <f t="shared" si="40"/>
        <v>45.873479999999994</v>
      </c>
      <c r="AD28" s="11">
        <f t="shared" si="40"/>
        <v>45.739134399999998</v>
      </c>
      <c r="AE28" s="11">
        <f t="shared" si="40"/>
        <v>45.752670400000007</v>
      </c>
      <c r="AF28" s="11">
        <f t="shared" si="40"/>
        <v>45.715617280000004</v>
      </c>
      <c r="AG28" s="11">
        <f t="shared" si="40"/>
        <v>45.715119360000003</v>
      </c>
      <c r="AH28" s="11">
        <f t="shared" si="40"/>
        <v>45.759034815999996</v>
      </c>
      <c r="AI28" s="11">
        <f t="shared" si="40"/>
        <v>45.759204287999999</v>
      </c>
      <c r="AJ28" s="11">
        <f t="shared" si="40"/>
        <v>45.736315251200004</v>
      </c>
      <c r="AK28" s="11">
        <f t="shared" si="40"/>
        <v>45.740329228800007</v>
      </c>
    </row>
    <row r="29" spans="2:213" s="24" customFormat="1" x14ac:dyDescent="0.2">
      <c r="C29" s="42"/>
      <c r="D29" s="42"/>
      <c r="E29" s="42"/>
      <c r="F29" s="42"/>
      <c r="G29" s="42"/>
      <c r="H29" s="42"/>
      <c r="I29" s="42"/>
      <c r="J29" s="42"/>
      <c r="K29" s="42"/>
    </row>
    <row r="30" spans="2:213" s="8" customFormat="1" x14ac:dyDescent="0.2">
      <c r="B30" s="8" t="s">
        <v>18</v>
      </c>
      <c r="C30" s="8">
        <f t="shared" ref="C30:K30" si="41">+C15/C9</f>
        <v>0.8443935148993198</v>
      </c>
      <c r="D30" s="8">
        <f t="shared" si="41"/>
        <v>0.82949373929821546</v>
      </c>
      <c r="E30" s="8">
        <f t="shared" si="41"/>
        <v>0.82823292937779514</v>
      </c>
      <c r="F30" s="8">
        <f t="shared" si="41"/>
        <v>0.8229492397756748</v>
      </c>
      <c r="G30" s="8">
        <f t="shared" si="41"/>
        <v>0.82928934732174819</v>
      </c>
      <c r="H30" s="8">
        <f t="shared" si="41"/>
        <v>0.82059046177138539</v>
      </c>
      <c r="I30" s="8">
        <f t="shared" si="41"/>
        <v>0.81167380607670758</v>
      </c>
      <c r="J30" s="8">
        <f t="shared" si="41"/>
        <v>0.81983598391203272</v>
      </c>
      <c r="K30" s="8">
        <f t="shared" si="41"/>
        <v>0.8246869569890547</v>
      </c>
      <c r="L30" s="8">
        <f t="shared" ref="L30:O30" si="42">+L15/L9</f>
        <v>0.82718750000000008</v>
      </c>
      <c r="M30" s="8">
        <f t="shared" si="42"/>
        <v>0.82023408761867544</v>
      </c>
      <c r="N30" s="8">
        <f t="shared" si="42"/>
        <v>0.82802525737057675</v>
      </c>
      <c r="O30" s="8">
        <f t="shared" si="42"/>
        <v>0.83265573167137041</v>
      </c>
      <c r="Q30" s="8">
        <f t="shared" ref="Q30:V30" si="43">+Q15/Q9</f>
        <v>0.83542464593498622</v>
      </c>
      <c r="R30" s="8">
        <f t="shared" si="43"/>
        <v>0.82548722955499088</v>
      </c>
      <c r="S30" s="8">
        <f t="shared" si="43"/>
        <v>0.8488220691332905</v>
      </c>
      <c r="T30" s="8">
        <f t="shared" si="43"/>
        <v>0.85205258377501814</v>
      </c>
      <c r="U30" s="8">
        <f t="shared" si="43"/>
        <v>0.82751227714826214</v>
      </c>
      <c r="V30" s="8">
        <f t="shared" si="43"/>
        <v>0.81934996490901957</v>
      </c>
      <c r="W30" s="8">
        <f t="shared" ref="W30:AK30" si="44">+W15/W9</f>
        <v>0.82583096280087531</v>
      </c>
      <c r="X30" s="8">
        <f t="shared" si="44"/>
        <v>0.82741431768450369</v>
      </c>
      <c r="Y30" s="8">
        <f t="shared" si="44"/>
        <v>0.82898327843282638</v>
      </c>
      <c r="Z30" s="8">
        <f t="shared" si="44"/>
        <v>0.83053797590161893</v>
      </c>
      <c r="AA30" s="8">
        <f t="shared" si="44"/>
        <v>0.8320785397570587</v>
      </c>
      <c r="AB30" s="8">
        <f t="shared" si="44"/>
        <v>0.83360509848654007</v>
      </c>
      <c r="AC30" s="8">
        <f t="shared" si="44"/>
        <v>0.83511777940938958</v>
      </c>
      <c r="AD30" s="8">
        <f t="shared" si="44"/>
        <v>0.83661670868748605</v>
      </c>
      <c r="AE30" s="8">
        <f t="shared" si="44"/>
        <v>0.84099304684764276</v>
      </c>
      <c r="AF30" s="8">
        <f t="shared" si="44"/>
        <v>0.84525216166422368</v>
      </c>
      <c r="AG30" s="8">
        <f t="shared" si="44"/>
        <v>0.8493971930482177</v>
      </c>
      <c r="AH30" s="8">
        <f t="shared" si="44"/>
        <v>0.85343119680585477</v>
      </c>
      <c r="AI30" s="8">
        <f t="shared" si="44"/>
        <v>0.85735714689141229</v>
      </c>
      <c r="AJ30" s="8">
        <f t="shared" si="44"/>
        <v>0.86117793759967798</v>
      </c>
      <c r="AK30" s="8">
        <f t="shared" si="44"/>
        <v>0.86489638569968663</v>
      </c>
    </row>
    <row r="31" spans="2:213" s="8" customFormat="1" x14ac:dyDescent="0.2">
      <c r="B31" s="8" t="s">
        <v>31</v>
      </c>
      <c r="C31" s="8">
        <f t="shared" ref="C31:K31" si="45">+C20/C9</f>
        <v>8.8065491942179996E-2</v>
      </c>
      <c r="D31" s="8">
        <f t="shared" si="45"/>
        <v>6.1702890681429069E-2</v>
      </c>
      <c r="E31" s="8">
        <f t="shared" si="45"/>
        <v>6.3012809945920761E-2</v>
      </c>
      <c r="F31" s="8">
        <f t="shared" si="45"/>
        <v>8.5634169597178414E-2</v>
      </c>
      <c r="G31" s="8">
        <f t="shared" si="45"/>
        <v>0.10766959481663489</v>
      </c>
      <c r="H31" s="8">
        <f t="shared" si="45"/>
        <v>0.10135251072419897</v>
      </c>
      <c r="I31" s="8">
        <f t="shared" si="45"/>
        <v>9.5369582630586577E-2</v>
      </c>
      <c r="J31" s="8">
        <f t="shared" si="45"/>
        <v>0.10405520091509526</v>
      </c>
      <c r="K31" s="22">
        <f t="shared" si="45"/>
        <v>0.10974866990308665</v>
      </c>
      <c r="L31" s="8">
        <f t="shared" ref="L31:O31" si="46">+L20/L9</f>
        <v>0.12712083333333335</v>
      </c>
      <c r="M31" s="8">
        <f t="shared" si="46"/>
        <v>0.12941961594180282</v>
      </c>
      <c r="N31" s="8">
        <f t="shared" si="46"/>
        <v>0.1375695630151185</v>
      </c>
      <c r="O31" s="8">
        <f t="shared" si="46"/>
        <v>0.14304017731368487</v>
      </c>
      <c r="Q31" s="8">
        <f t="shared" ref="Q31:AK31" si="47">+Q20/Q9</f>
        <v>4.2576414607353161E-2</v>
      </c>
      <c r="R31" s="8">
        <f t="shared" si="47"/>
        <v>2.3658302093503464E-2</v>
      </c>
      <c r="S31" s="8">
        <f t="shared" si="47"/>
        <v>7.8145387796625082E-2</v>
      </c>
      <c r="T31" s="8">
        <f t="shared" si="47"/>
        <v>7.4616257206750053E-2</v>
      </c>
      <c r="U31" s="8">
        <f t="shared" si="47"/>
        <v>7.9902419760635501E-2</v>
      </c>
      <c r="V31" s="8">
        <f t="shared" si="47"/>
        <v>0.10285172303267094</v>
      </c>
      <c r="W31" s="8">
        <f t="shared" si="47"/>
        <v>0.12779885120350104</v>
      </c>
      <c r="X31" s="8">
        <f t="shared" si="47"/>
        <v>0.15387198876069219</v>
      </c>
      <c r="Y31" s="8">
        <f t="shared" si="47"/>
        <v>0.17881756024287029</v>
      </c>
      <c r="Z31" s="8">
        <f t="shared" si="47"/>
        <v>0.20268629523034293</v>
      </c>
      <c r="AA31" s="8">
        <f t="shared" si="47"/>
        <v>0.22552662217179567</v>
      </c>
      <c r="AB31" s="8">
        <f t="shared" si="47"/>
        <v>0.24738477293792555</v>
      </c>
      <c r="AC31" s="8">
        <f t="shared" si="47"/>
        <v>0.26830488262303059</v>
      </c>
      <c r="AD31" s="8">
        <f t="shared" si="47"/>
        <v>0.28832908481055275</v>
      </c>
      <c r="AE31" s="8">
        <f t="shared" si="47"/>
        <v>0.31986371674966979</v>
      </c>
      <c r="AF31" s="8">
        <f t="shared" si="47"/>
        <v>0.34971069060390736</v>
      </c>
      <c r="AG31" s="8">
        <f t="shared" si="47"/>
        <v>0.37796903133737353</v>
      </c>
      <c r="AH31" s="8">
        <f t="shared" si="47"/>
        <v>0.40473172747785136</v>
      </c>
      <c r="AI31" s="8">
        <f t="shared" si="47"/>
        <v>0.43008610466739511</v>
      </c>
      <c r="AJ31" s="8">
        <f t="shared" si="47"/>
        <v>0.45411417595938031</v>
      </c>
      <c r="AK31" s="8">
        <f t="shared" si="47"/>
        <v>0.47689297031297029</v>
      </c>
    </row>
    <row r="32" spans="2:213" s="8" customFormat="1" x14ac:dyDescent="0.2">
      <c r="B32" s="8" t="s">
        <v>32</v>
      </c>
      <c r="C32" s="8">
        <f t="shared" ref="C32:K32" si="48">+C26/C9</f>
        <v>7.1279782858863244E-2</v>
      </c>
      <c r="D32" s="8">
        <f t="shared" si="48"/>
        <v>4.1812093079638991E-2</v>
      </c>
      <c r="E32" s="8">
        <f t="shared" si="48"/>
        <v>3.7515221448816166E-2</v>
      </c>
      <c r="F32" s="8">
        <f t="shared" si="48"/>
        <v>5.8321457498180095E-2</v>
      </c>
      <c r="G32" s="8">
        <f t="shared" si="48"/>
        <v>7.9084573014915255E-2</v>
      </c>
      <c r="H32" s="8">
        <f t="shared" si="48"/>
        <v>7.1824375473126562E-2</v>
      </c>
      <c r="I32" s="8">
        <f t="shared" si="48"/>
        <v>7.239909053368962E-2</v>
      </c>
      <c r="J32" s="8">
        <f t="shared" si="48"/>
        <v>8.6016198664255805E-2</v>
      </c>
      <c r="K32" s="8">
        <f t="shared" si="48"/>
        <v>0.59310678394210281</v>
      </c>
      <c r="L32" s="8">
        <f t="shared" ref="L32:O32" si="49">+L26/L9</f>
        <v>9.1888287037037039E-2</v>
      </c>
      <c r="M32" s="8">
        <f t="shared" si="49"/>
        <v>9.3430498962671082E-2</v>
      </c>
      <c r="N32" s="8">
        <f t="shared" si="49"/>
        <v>9.8928587002827792E-2</v>
      </c>
      <c r="O32" s="8">
        <f t="shared" si="49"/>
        <v>0.10268164962959239</v>
      </c>
      <c r="Q32" s="8">
        <f t="shared" ref="Q32:AK32" si="50">+Q26/Q9</f>
        <v>4.0681785255648348E-2</v>
      </c>
      <c r="R32" s="8">
        <f t="shared" si="50"/>
        <v>4.1340915358071904E-2</v>
      </c>
      <c r="S32" s="8">
        <f t="shared" si="50"/>
        <v>6.6132483358028987E-2</v>
      </c>
      <c r="T32" s="8">
        <f t="shared" si="50"/>
        <v>6.4296489953754629E-2</v>
      </c>
      <c r="U32" s="8">
        <f t="shared" si="50"/>
        <v>5.4565952649380016E-2</v>
      </c>
      <c r="V32" s="8">
        <f t="shared" si="50"/>
        <v>0.21432188616700446</v>
      </c>
      <c r="W32" s="8">
        <f t="shared" si="50"/>
        <v>8.9838615973741723E-2</v>
      </c>
      <c r="X32" s="8">
        <f t="shared" si="50"/>
        <v>0.11043997783469262</v>
      </c>
      <c r="Y32" s="8">
        <f t="shared" si="50"/>
        <v>0.12835653357641916</v>
      </c>
      <c r="Z32" s="8">
        <f t="shared" si="50"/>
        <v>0.14559198588073541</v>
      </c>
      <c r="AA32" s="8">
        <f t="shared" si="50"/>
        <v>0.16216929290267557</v>
      </c>
      <c r="AB32" s="8">
        <f t="shared" si="50"/>
        <v>0.17811101599540002</v>
      </c>
      <c r="AC32" s="8">
        <f t="shared" si="50"/>
        <v>0.1934392833368668</v>
      </c>
      <c r="AD32" s="8">
        <f t="shared" si="50"/>
        <v>0.20817575980748099</v>
      </c>
      <c r="AE32" s="8">
        <f t="shared" si="50"/>
        <v>0.23087123633079246</v>
      </c>
      <c r="AF32" s="8">
        <f t="shared" si="50"/>
        <v>0.25246063811946656</v>
      </c>
      <c r="AG32" s="8">
        <f t="shared" si="50"/>
        <v>0.27299830333220398</v>
      </c>
      <c r="AH32" s="8">
        <f t="shared" si="50"/>
        <v>0.29253628916250302</v>
      </c>
      <c r="AI32" s="8">
        <f t="shared" si="50"/>
        <v>0.31112441072444863</v>
      </c>
      <c r="AJ32" s="8">
        <f t="shared" si="50"/>
        <v>0.32881028775401544</v>
      </c>
      <c r="AK32" s="8">
        <f t="shared" si="50"/>
        <v>0.3456393976090143</v>
      </c>
    </row>
    <row r="33" spans="2:40" s="8" customFormat="1" x14ac:dyDescent="0.2">
      <c r="B33" s="8" t="s">
        <v>33</v>
      </c>
      <c r="C33" s="8">
        <f t="shared" ref="C33:J33" si="51">+C25/C24</f>
        <v>0.22315711488596041</v>
      </c>
      <c r="D33" s="8">
        <f t="shared" si="51"/>
        <v>0.30918801635650484</v>
      </c>
      <c r="E33" s="8">
        <f t="shared" si="51"/>
        <v>0.42124692370795652</v>
      </c>
      <c r="F33" s="8">
        <f t="shared" si="51"/>
        <v>0.33417217767893748</v>
      </c>
      <c r="G33" s="8">
        <f t="shared" si="51"/>
        <v>0.26662421540980663</v>
      </c>
      <c r="H33" s="8">
        <f t="shared" si="51"/>
        <v>0.32575326890278522</v>
      </c>
      <c r="I33" s="8">
        <f t="shared" si="51"/>
        <v>0.28216258879242284</v>
      </c>
      <c r="J33" s="8">
        <f t="shared" si="51"/>
        <v>0.21725078698845776</v>
      </c>
      <c r="K33" s="36" t="s">
        <v>64</v>
      </c>
      <c r="L33" s="8">
        <f t="shared" ref="L33:O33" si="52">+L25/L24</f>
        <v>0.3</v>
      </c>
      <c r="M33" s="8">
        <f t="shared" si="52"/>
        <v>0.3</v>
      </c>
      <c r="N33" s="8">
        <f t="shared" si="52"/>
        <v>0.3</v>
      </c>
      <c r="O33" s="8">
        <f t="shared" si="52"/>
        <v>0.3</v>
      </c>
      <c r="Q33" s="8">
        <f>+Q25/Q24</f>
        <v>0.19184665679398707</v>
      </c>
      <c r="R33" s="8">
        <f>+R25/R24</f>
        <v>-0.33123740040318594</v>
      </c>
      <c r="S33" s="8">
        <f>+S25/S24</f>
        <v>0.16883816274060193</v>
      </c>
      <c r="T33" s="8">
        <f>+T25/T24</f>
        <v>0.16517073829126744</v>
      </c>
      <c r="U33" s="8">
        <f>+U25/U24</f>
        <v>0.32273977800967613</v>
      </c>
      <c r="V33" s="36" t="s">
        <v>64</v>
      </c>
      <c r="W33" s="8">
        <f t="shared" ref="W33:AK33" si="53">+W25/W24</f>
        <v>0.31795806454158371</v>
      </c>
      <c r="X33" s="8">
        <f t="shared" si="53"/>
        <v>0.3</v>
      </c>
      <c r="Y33" s="8">
        <f t="shared" si="53"/>
        <v>0.3</v>
      </c>
      <c r="Z33" s="8">
        <f t="shared" si="53"/>
        <v>0.3</v>
      </c>
      <c r="AA33" s="8">
        <f t="shared" si="53"/>
        <v>0.3</v>
      </c>
      <c r="AB33" s="8">
        <f t="shared" si="53"/>
        <v>0.3</v>
      </c>
      <c r="AC33" s="8">
        <f t="shared" si="53"/>
        <v>0.3</v>
      </c>
      <c r="AD33" s="8">
        <f t="shared" si="53"/>
        <v>0.3</v>
      </c>
      <c r="AE33" s="8">
        <f t="shared" si="53"/>
        <v>0.3</v>
      </c>
      <c r="AF33" s="8">
        <f t="shared" si="53"/>
        <v>0.3</v>
      </c>
      <c r="AG33" s="8">
        <f t="shared" si="53"/>
        <v>0.3</v>
      </c>
      <c r="AH33" s="8">
        <f t="shared" si="53"/>
        <v>0.3</v>
      </c>
      <c r="AI33" s="8">
        <f t="shared" si="53"/>
        <v>0.3</v>
      </c>
      <c r="AJ33" s="8">
        <f t="shared" si="53"/>
        <v>0.3</v>
      </c>
      <c r="AK33" s="8">
        <f t="shared" si="53"/>
        <v>0.3</v>
      </c>
    </row>
    <row r="34" spans="2:40" s="8" customFormat="1" x14ac:dyDescent="0.2">
      <c r="K34" s="36"/>
      <c r="V34" s="36"/>
    </row>
    <row r="35" spans="2:40" s="23" customFormat="1" x14ac:dyDescent="0.2">
      <c r="B35" s="23" t="s">
        <v>34</v>
      </c>
      <c r="G35" s="23">
        <f t="shared" ref="G35:O35" si="54">+G9/C9-1</f>
        <v>-1.0031609767466865E-2</v>
      </c>
      <c r="H35" s="23">
        <f t="shared" si="54"/>
        <v>8.5361726630339696E-4</v>
      </c>
      <c r="I35" s="23">
        <f t="shared" si="54"/>
        <v>6.8808924953604578E-2</v>
      </c>
      <c r="J35" s="23">
        <f t="shared" si="54"/>
        <v>0.11141413002245293</v>
      </c>
      <c r="K35" s="23">
        <f>+K9/G9-1</f>
        <v>9.5196755001643263E-2</v>
      </c>
      <c r="L35" s="23">
        <f t="shared" si="54"/>
        <v>9.0083270249810665E-2</v>
      </c>
      <c r="M35" s="23">
        <f t="shared" si="54"/>
        <v>0.10000000000000009</v>
      </c>
      <c r="N35" s="23">
        <f t="shared" si="54"/>
        <v>0.10000000000000009</v>
      </c>
      <c r="O35" s="23">
        <f t="shared" si="54"/>
        <v>0.10000000000000009</v>
      </c>
      <c r="R35" s="23">
        <f t="shared" ref="R35:AK35" si="55">+R9/Q9-1</f>
        <v>-5.63634650196847E-2</v>
      </c>
      <c r="S35" s="23">
        <f t="shared" si="55"/>
        <v>7.8384521937440832E-2</v>
      </c>
      <c r="T35" s="23">
        <f t="shared" si="55"/>
        <v>6.3746765597010091E-2</v>
      </c>
      <c r="U35" s="23">
        <f t="shared" si="55"/>
        <v>2.0015826588408725E-2</v>
      </c>
      <c r="V35" s="23">
        <f t="shared" si="55"/>
        <v>6.9111268224638422E-2</v>
      </c>
      <c r="W35" s="23">
        <f t="shared" si="55"/>
        <v>8.9071512915744666E-2</v>
      </c>
      <c r="X35" s="23">
        <f t="shared" si="55"/>
        <v>0.10000000000000009</v>
      </c>
      <c r="Y35" s="23">
        <f t="shared" si="55"/>
        <v>0.10000000000000009</v>
      </c>
      <c r="Z35" s="23">
        <f t="shared" si="55"/>
        <v>0.10000000000000009</v>
      </c>
      <c r="AA35" s="23">
        <f t="shared" si="55"/>
        <v>0.10000000000000009</v>
      </c>
      <c r="AB35" s="23">
        <f t="shared" si="55"/>
        <v>0.10000000000000009</v>
      </c>
      <c r="AC35" s="23">
        <f t="shared" si="55"/>
        <v>0.10000000000000009</v>
      </c>
      <c r="AD35" s="23">
        <f t="shared" si="55"/>
        <v>0.10000000000000009</v>
      </c>
      <c r="AE35" s="23">
        <f t="shared" si="55"/>
        <v>0.12000000000000011</v>
      </c>
      <c r="AF35" s="23">
        <f t="shared" si="55"/>
        <v>0.12000000000000011</v>
      </c>
      <c r="AG35" s="23">
        <f t="shared" si="55"/>
        <v>0.12000000000000011</v>
      </c>
      <c r="AH35" s="23">
        <f t="shared" si="55"/>
        <v>0.12000000000000011</v>
      </c>
      <c r="AI35" s="23">
        <f t="shared" si="55"/>
        <v>0.12000000000000011</v>
      </c>
      <c r="AJ35" s="23">
        <f t="shared" si="55"/>
        <v>0.12000000000000011</v>
      </c>
      <c r="AK35" s="23">
        <f t="shared" si="55"/>
        <v>0.12000000000000011</v>
      </c>
      <c r="AM35" s="28"/>
      <c r="AN35" s="28"/>
    </row>
    <row r="36" spans="2:40" s="44" customFormat="1" x14ac:dyDescent="0.2">
      <c r="B36" s="41" t="s">
        <v>78</v>
      </c>
      <c r="D36" s="45">
        <f t="shared" ref="D36:J36" si="56">+D16/C16-1</f>
        <v>-8.8245399299963556E-2</v>
      </c>
      <c r="E36" s="45">
        <f t="shared" si="56"/>
        <v>-4.2628858088295751E-2</v>
      </c>
      <c r="F36" s="45">
        <f t="shared" si="56"/>
        <v>7.4342857845729915E-2</v>
      </c>
      <c r="G36" s="45">
        <f t="shared" si="56"/>
        <v>-1.3853428437311521E-3</v>
      </c>
      <c r="H36" s="45">
        <f t="shared" si="56"/>
        <v>-3.548416683864164E-2</v>
      </c>
      <c r="I36" s="45">
        <f t="shared" si="56"/>
        <v>6.9537722728731932E-3</v>
      </c>
      <c r="J36" s="45">
        <f t="shared" si="56"/>
        <v>8.2455850410803722E-2</v>
      </c>
      <c r="K36" s="45">
        <f>+K16/J16-1</f>
        <v>3.0110036315255551E-2</v>
      </c>
      <c r="L36" s="45">
        <f>+L16/K16-1</f>
        <v>-6.4839928857269968E-2</v>
      </c>
      <c r="M36" s="45">
        <f t="shared" ref="M36:O36" si="57">+M16/L16-1</f>
        <v>6.9537722728731932E-3</v>
      </c>
      <c r="N36" s="45">
        <f t="shared" si="57"/>
        <v>8.2455850410803722E-2</v>
      </c>
      <c r="O36" s="45">
        <f t="shared" si="57"/>
        <v>3.0110036315255773E-2</v>
      </c>
      <c r="V36" s="45"/>
    </row>
    <row r="37" spans="2:40" s="44" customFormat="1" x14ac:dyDescent="0.2">
      <c r="B37" s="41" t="s">
        <v>79</v>
      </c>
      <c r="D37" s="45">
        <f t="shared" ref="D37:J37" si="58">+D17/C17-1</f>
        <v>-9.4821838654715052E-3</v>
      </c>
      <c r="E37" s="45">
        <f t="shared" si="58"/>
        <v>-7.6284496297958304E-2</v>
      </c>
      <c r="F37" s="45">
        <f t="shared" si="58"/>
        <v>-0.12274309772488046</v>
      </c>
      <c r="G37" s="45">
        <f t="shared" si="58"/>
        <v>-1.0121519766189802E-2</v>
      </c>
      <c r="H37" s="45">
        <f t="shared" si="58"/>
        <v>-2.3153903530581776E-2</v>
      </c>
      <c r="I37" s="45">
        <f t="shared" si="58"/>
        <v>-5.4086729661799726E-3</v>
      </c>
      <c r="J37" s="45">
        <f t="shared" si="58"/>
        <v>0.10015674482582138</v>
      </c>
      <c r="K37" s="45">
        <f>+K17/J17-1</f>
        <v>2.4773203070481475E-2</v>
      </c>
      <c r="L37" s="45">
        <f t="shared" ref="L37:O37" si="59">+L17/K17-1</f>
        <v>-1.9007490636704039E-2</v>
      </c>
      <c r="M37" s="45">
        <f t="shared" si="59"/>
        <v>-5.4086729661798616E-3</v>
      </c>
      <c r="N37" s="45">
        <f t="shared" si="59"/>
        <v>0.10015674482582138</v>
      </c>
      <c r="O37" s="45">
        <f t="shared" si="59"/>
        <v>2.4773203070481253E-2</v>
      </c>
      <c r="V37" s="45"/>
    </row>
    <row r="38" spans="2:40" s="24" customFormat="1" x14ac:dyDescent="0.2">
      <c r="B38" s="46" t="s">
        <v>80</v>
      </c>
      <c r="D38" s="24">
        <f t="shared" ref="D38:J38" si="60">+D18/C18-1</f>
        <v>0.21897876186172627</v>
      </c>
      <c r="E38" s="24">
        <f t="shared" si="60"/>
        <v>-5.2750593119810119E-2</v>
      </c>
      <c r="F38" s="24">
        <f t="shared" si="60"/>
        <v>-6.1440926701365806E-2</v>
      </c>
      <c r="G38" s="24">
        <f t="shared" si="60"/>
        <v>0.15615227452779057</v>
      </c>
      <c r="H38" s="24">
        <f t="shared" si="60"/>
        <v>-2.7733698788228622E-2</v>
      </c>
      <c r="I38" s="24">
        <f t="shared" si="60"/>
        <v>3.8688378649059718E-2</v>
      </c>
      <c r="J38" s="24">
        <f t="shared" si="60"/>
        <v>3.9140061424183914E-2</v>
      </c>
      <c r="K38" s="24">
        <f>+K18/J18-1</f>
        <v>2.8867963433913069E-2</v>
      </c>
      <c r="L38" s="24">
        <f t="shared" ref="L38:O38" si="61">+L18/K18-1</f>
        <v>-5.4480927249649258E-2</v>
      </c>
      <c r="M38" s="24">
        <f t="shared" si="61"/>
        <v>3.8688378649059718E-2</v>
      </c>
      <c r="N38" s="24">
        <f t="shared" si="61"/>
        <v>3.9140061424183914E-2</v>
      </c>
      <c r="O38" s="24">
        <f t="shared" si="61"/>
        <v>2.8867963433912847E-2</v>
      </c>
    </row>
    <row r="39" spans="2:40" s="8" customFormat="1" x14ac:dyDescent="0.2">
      <c r="B39" s="35" t="s">
        <v>65</v>
      </c>
      <c r="D39" s="8">
        <f t="shared" ref="D39:K39" si="62">+D9/C9-1</f>
        <v>-3.8689190042194954E-2</v>
      </c>
      <c r="E39" s="8">
        <f t="shared" si="62"/>
        <v>-5.0126022194048825E-2</v>
      </c>
      <c r="F39" s="8">
        <f t="shared" si="62"/>
        <v>3.7313155054052638E-2</v>
      </c>
      <c r="G39" s="8">
        <f t="shared" si="62"/>
        <v>4.5157222387401497E-2</v>
      </c>
      <c r="H39" s="8">
        <f t="shared" si="62"/>
        <v>-2.8119068289165772E-2</v>
      </c>
      <c r="I39" s="8">
        <f t="shared" si="62"/>
        <v>1.436790310370939E-2</v>
      </c>
      <c r="J39" s="8">
        <f t="shared" si="62"/>
        <v>7.8662865614909538E-2</v>
      </c>
      <c r="K39" s="8">
        <f t="shared" si="62"/>
        <v>2.9906645511236007E-2</v>
      </c>
      <c r="L39" s="8">
        <f t="shared" ref="L39" si="63">+L9/K9-1</f>
        <v>-3.2656790211919917E-2</v>
      </c>
      <c r="M39" s="8">
        <f t="shared" ref="M39" si="64">+M9/L9-1</f>
        <v>2.3595833333333482E-2</v>
      </c>
      <c r="N39" s="8">
        <f t="shared" ref="N39" si="65">+N9/M9-1</f>
        <v>7.8662865614909538E-2</v>
      </c>
      <c r="O39" s="8">
        <f t="shared" ref="O39" si="66">+O9/N9-1</f>
        <v>2.9906645511236007E-2</v>
      </c>
      <c r="AM39" s="24"/>
    </row>
    <row r="40" spans="2:40" x14ac:dyDescent="0.2">
      <c r="AM40" s="8"/>
      <c r="AN40" s="11"/>
    </row>
    <row r="41" spans="2:40" x14ac:dyDescent="0.2">
      <c r="B41" s="2" t="s">
        <v>35</v>
      </c>
      <c r="C41" s="11">
        <f t="shared" ref="C41:K41" si="67">+C42-C53</f>
        <v>267.50700000000001</v>
      </c>
      <c r="D41" s="11">
        <f t="shared" si="67"/>
        <v>258.71300000000002</v>
      </c>
      <c r="E41" s="11">
        <f t="shared" si="67"/>
        <v>262.48500000000001</v>
      </c>
      <c r="F41" s="11">
        <f t="shared" si="67"/>
        <v>273.46899999999999</v>
      </c>
      <c r="G41" s="11">
        <f t="shared" si="67"/>
        <v>326.45800000000003</v>
      </c>
      <c r="H41" s="11">
        <f t="shared" si="67"/>
        <v>313.26900000000001</v>
      </c>
      <c r="I41" s="11">
        <f t="shared" si="67"/>
        <v>321.96699999999998</v>
      </c>
      <c r="J41" s="11">
        <f t="shared" si="67"/>
        <v>322.99</v>
      </c>
      <c r="K41" s="11">
        <f t="shared" si="67"/>
        <v>351.43400000000003</v>
      </c>
      <c r="L41" s="5"/>
      <c r="M41" s="5"/>
      <c r="N41" s="5"/>
      <c r="V41" s="11">
        <f>+K41</f>
        <v>351.43400000000003</v>
      </c>
      <c r="W41" s="11">
        <f>+W26+V41</f>
        <v>433.54649499999994</v>
      </c>
      <c r="X41" s="11">
        <f t="shared" ref="X41:AK41" si="68">+X26+W41</f>
        <v>544.58284871499995</v>
      </c>
      <c r="Y41" s="11">
        <f t="shared" si="68"/>
        <v>686.53747345850502</v>
      </c>
      <c r="Z41" s="11">
        <f t="shared" si="68"/>
        <v>863.65507440993963</v>
      </c>
      <c r="AA41" s="11">
        <f t="shared" si="68"/>
        <v>1080.6679788392096</v>
      </c>
      <c r="AB41" s="11">
        <f t="shared" si="68"/>
        <v>1342.8484879860766</v>
      </c>
      <c r="AC41" s="11">
        <f t="shared" si="68"/>
        <v>1656.0666820540512</v>
      </c>
      <c r="AD41" s="11">
        <f t="shared" si="68"/>
        <v>2026.8542379833418</v>
      </c>
      <c r="AE41" s="11">
        <f t="shared" si="68"/>
        <v>2487.410660674198</v>
      </c>
      <c r="AF41" s="11">
        <f t="shared" si="68"/>
        <v>3051.4698940187627</v>
      </c>
      <c r="AG41" s="11">
        <f t="shared" si="68"/>
        <v>3734.6087809693267</v>
      </c>
      <c r="AH41" s="11">
        <f t="shared" si="68"/>
        <v>4554.4822455134999</v>
      </c>
      <c r="AI41" s="11">
        <f t="shared" si="68"/>
        <v>5531.0878050008796</v>
      </c>
      <c r="AJ41" s="11">
        <f t="shared" si="68"/>
        <v>6687.0630266308317</v>
      </c>
      <c r="AK41" s="11">
        <f t="shared" si="68"/>
        <v>8048.0199839767429</v>
      </c>
      <c r="AM41" s="8"/>
      <c r="AN41" s="12"/>
    </row>
    <row r="42" spans="2:40" x14ac:dyDescent="0.2">
      <c r="B42" s="2" t="s">
        <v>21</v>
      </c>
      <c r="C42" s="11">
        <v>267.50700000000001</v>
      </c>
      <c r="D42" s="11">
        <v>258.71300000000002</v>
      </c>
      <c r="E42" s="11">
        <v>262.48500000000001</v>
      </c>
      <c r="F42" s="11">
        <v>273.46899999999999</v>
      </c>
      <c r="G42" s="11">
        <f>287.778+38.68</f>
        <v>326.45800000000003</v>
      </c>
      <c r="H42" s="11">
        <f>274.589+38.68</f>
        <v>313.26900000000001</v>
      </c>
      <c r="I42" s="11">
        <f>283.287+38.68</f>
        <v>321.96699999999998</v>
      </c>
      <c r="J42" s="11">
        <f>284.31+38.68</f>
        <v>322.99</v>
      </c>
      <c r="K42" s="11">
        <f>312.754+38.68</f>
        <v>351.43400000000003</v>
      </c>
      <c r="L42" s="5"/>
      <c r="M42" s="5"/>
      <c r="N42" s="5"/>
      <c r="AM42" s="41" t="s">
        <v>74</v>
      </c>
      <c r="AN42" s="24">
        <v>-0.03</v>
      </c>
    </row>
    <row r="43" spans="2:40" x14ac:dyDescent="0.2">
      <c r="B43" s="2" t="s">
        <v>36</v>
      </c>
      <c r="C43" s="11">
        <v>194.238</v>
      </c>
      <c r="D43" s="11">
        <v>181.535</v>
      </c>
      <c r="E43" s="11">
        <v>170.166</v>
      </c>
      <c r="F43" s="11">
        <v>215.464</v>
      </c>
      <c r="G43" s="11">
        <v>210.441</v>
      </c>
      <c r="H43" s="11">
        <v>176.512</v>
      </c>
      <c r="I43" s="11">
        <v>196.434</v>
      </c>
      <c r="J43" s="11">
        <v>223.71</v>
      </c>
      <c r="K43" s="11">
        <v>222.68299999999999</v>
      </c>
      <c r="L43" s="5"/>
      <c r="M43" s="5"/>
      <c r="N43" s="5"/>
      <c r="AM43" s="41" t="s">
        <v>75</v>
      </c>
      <c r="AN43" s="24">
        <v>0.1</v>
      </c>
    </row>
    <row r="44" spans="2:40" x14ac:dyDescent="0.2">
      <c r="B44" s="2" t="s">
        <v>37</v>
      </c>
      <c r="C44" s="11">
        <v>22.335999999999999</v>
      </c>
      <c r="D44" s="11">
        <v>24.785</v>
      </c>
      <c r="E44" s="11">
        <v>23.225000000000001</v>
      </c>
      <c r="F44" s="11">
        <v>17.747</v>
      </c>
      <c r="G44" s="11">
        <v>14.015000000000001</v>
      </c>
      <c r="H44" s="11">
        <v>18.654</v>
      </c>
      <c r="I44" s="11">
        <v>21.56</v>
      </c>
      <c r="J44" s="11">
        <v>19.834</v>
      </c>
      <c r="K44" s="11">
        <v>21.009</v>
      </c>
      <c r="L44" s="5"/>
      <c r="M44" s="5"/>
      <c r="N44" s="5"/>
      <c r="AM44" s="41" t="s">
        <v>76</v>
      </c>
      <c r="AN44" s="11">
        <f>NPV(AN43,W26:EH26)</f>
        <v>5268.0236444447637</v>
      </c>
    </row>
    <row r="45" spans="2:40" x14ac:dyDescent="0.2">
      <c r="B45" s="30" t="s">
        <v>66</v>
      </c>
      <c r="C45" s="11">
        <f>+SUM(C42:C44)</f>
        <v>484.08100000000002</v>
      </c>
      <c r="D45" s="11">
        <f t="shared" ref="D45:J45" si="69">+SUM(D42:D44)</f>
        <v>465.03300000000007</v>
      </c>
      <c r="E45" s="11">
        <f t="shared" si="69"/>
        <v>455.87600000000003</v>
      </c>
      <c r="F45" s="11">
        <f t="shared" si="69"/>
        <v>506.68</v>
      </c>
      <c r="G45" s="11">
        <f t="shared" si="69"/>
        <v>550.91399999999999</v>
      </c>
      <c r="H45" s="11">
        <f t="shared" si="69"/>
        <v>508.435</v>
      </c>
      <c r="I45" s="11">
        <f t="shared" si="69"/>
        <v>539.9609999999999</v>
      </c>
      <c r="J45" s="11">
        <f t="shared" si="69"/>
        <v>566.53399999999999</v>
      </c>
      <c r="K45" s="11">
        <f>+SUM(K42:K44)</f>
        <v>595.12599999999998</v>
      </c>
      <c r="L45" s="5"/>
      <c r="M45" s="5"/>
      <c r="N45" s="5"/>
      <c r="AM45" s="41" t="s">
        <v>35</v>
      </c>
      <c r="AN45" s="11">
        <f>+K41</f>
        <v>351.43400000000003</v>
      </c>
    </row>
    <row r="46" spans="2:40" x14ac:dyDescent="0.2">
      <c r="B46" s="30" t="s">
        <v>69</v>
      </c>
      <c r="K46" s="11">
        <v>111.181</v>
      </c>
      <c r="L46" s="5"/>
      <c r="M46" s="5"/>
      <c r="N46" s="5"/>
      <c r="AM46" s="41" t="s">
        <v>52</v>
      </c>
      <c r="AN46" s="11">
        <f>+AN44-AN45</f>
        <v>4916.5896444447635</v>
      </c>
    </row>
    <row r="47" spans="2:40" x14ac:dyDescent="0.2">
      <c r="B47" s="2" t="s">
        <v>38</v>
      </c>
      <c r="C47" s="11">
        <v>106.51300000000001</v>
      </c>
      <c r="D47" s="11">
        <v>104.599</v>
      </c>
      <c r="E47" s="11">
        <v>102.562</v>
      </c>
      <c r="F47" s="11">
        <v>100.901</v>
      </c>
      <c r="G47" s="11">
        <v>8.2870000000000008</v>
      </c>
      <c r="H47" s="11">
        <v>8.2089999999999996</v>
      </c>
      <c r="I47" s="11">
        <v>7.4710000000000001</v>
      </c>
      <c r="J47" s="11">
        <v>7.9329999999999998</v>
      </c>
      <c r="K47" s="11">
        <v>7.9610000000000003</v>
      </c>
      <c r="L47" s="5"/>
      <c r="M47" s="5"/>
      <c r="N47" s="5"/>
      <c r="AM47" s="41" t="s">
        <v>77</v>
      </c>
      <c r="AN47" s="11">
        <f>+AN46/Main!K7</f>
        <v>109.74775429015745</v>
      </c>
    </row>
    <row r="48" spans="2:40" x14ac:dyDescent="0.2">
      <c r="B48" s="2" t="s">
        <v>39</v>
      </c>
      <c r="C48" s="11">
        <v>14.920999999999999</v>
      </c>
      <c r="D48" s="11">
        <v>13.135999999999999</v>
      </c>
      <c r="E48" s="11">
        <v>11.853</v>
      </c>
      <c r="F48" s="11">
        <v>11.211</v>
      </c>
      <c r="G48" s="11">
        <v>11.784000000000001</v>
      </c>
      <c r="H48" s="11">
        <v>11.268000000000001</v>
      </c>
      <c r="I48" s="11">
        <v>12.994999999999999</v>
      </c>
      <c r="J48" s="11">
        <v>11.693</v>
      </c>
      <c r="K48" s="11">
        <v>10.545</v>
      </c>
      <c r="L48" s="5"/>
      <c r="M48" s="5"/>
      <c r="N48" s="5"/>
      <c r="AM48" s="41" t="s">
        <v>53</v>
      </c>
      <c r="AN48" s="11">
        <v>114</v>
      </c>
    </row>
    <row r="49" spans="2:40" x14ac:dyDescent="0.2">
      <c r="B49" s="30" t="s">
        <v>72</v>
      </c>
      <c r="C49" s="11">
        <v>52.973999999999997</v>
      </c>
      <c r="D49" s="11">
        <v>52.767000000000003</v>
      </c>
      <c r="E49" s="11">
        <v>52.3</v>
      </c>
      <c r="F49" s="11">
        <v>57.584000000000003</v>
      </c>
      <c r="G49" s="11">
        <v>59.612000000000002</v>
      </c>
      <c r="H49" s="11">
        <v>58.847999999999999</v>
      </c>
      <c r="I49" s="11">
        <v>58.854999999999997</v>
      </c>
      <c r="J49" s="11">
        <v>61.128</v>
      </c>
      <c r="K49" s="11">
        <v>62.837000000000003</v>
      </c>
      <c r="L49" s="5"/>
      <c r="M49" s="5"/>
      <c r="N49" s="5"/>
      <c r="AN49" s="24">
        <f>+AN47/AN48-1</f>
        <v>-3.7300400963531155E-2</v>
      </c>
    </row>
    <row r="50" spans="2:40" x14ac:dyDescent="0.2">
      <c r="B50" s="30" t="s">
        <v>67</v>
      </c>
      <c r="C50" s="11">
        <f>3.542+127.78</f>
        <v>131.322</v>
      </c>
      <c r="D50" s="11">
        <f>3.229+127.78</f>
        <v>131.00900000000001</v>
      </c>
      <c r="E50" s="11">
        <f>2.917+127.78</f>
        <v>130.697</v>
      </c>
      <c r="F50" s="11">
        <f>2.604+127.78</f>
        <v>130.38400000000001</v>
      </c>
      <c r="G50" s="11">
        <f>2.292+127.78</f>
        <v>130.072</v>
      </c>
      <c r="H50" s="11">
        <f>1.979+127.78</f>
        <v>129.75900000000001</v>
      </c>
      <c r="I50" s="11">
        <f>1.667+127.78</f>
        <v>129.447</v>
      </c>
      <c r="J50" s="11">
        <f>1.354+127.78</f>
        <v>129.13400000000001</v>
      </c>
      <c r="K50" s="11">
        <f>1.042+127.78</f>
        <v>128.822</v>
      </c>
      <c r="L50" s="5"/>
      <c r="M50" s="5"/>
      <c r="N50" s="5"/>
    </row>
    <row r="51" spans="2:40" x14ac:dyDescent="0.2">
      <c r="B51" s="2" t="s">
        <v>40</v>
      </c>
      <c r="C51" s="11">
        <v>26.268999999999998</v>
      </c>
      <c r="D51" s="11">
        <v>26.178999999999998</v>
      </c>
      <c r="E51" s="11">
        <v>26.5</v>
      </c>
      <c r="F51" s="11">
        <v>23.181999999999999</v>
      </c>
      <c r="G51" s="11">
        <v>21.905000000000001</v>
      </c>
      <c r="H51" s="11">
        <v>25.213000000000001</v>
      </c>
      <c r="I51" s="11">
        <v>23.963000000000001</v>
      </c>
      <c r="J51" s="11">
        <v>27.652000000000001</v>
      </c>
      <c r="K51" s="11">
        <v>27.440999999999999</v>
      </c>
      <c r="L51" s="5"/>
      <c r="M51" s="5"/>
      <c r="N51" s="5"/>
    </row>
    <row r="52" spans="2:40" s="6" customFormat="1" x14ac:dyDescent="0.2">
      <c r="B52" s="6" t="s">
        <v>41</v>
      </c>
      <c r="C52" s="19">
        <f t="shared" ref="C52:J52" si="70">+SUM(C46:C51)+C45</f>
        <v>816.08</v>
      </c>
      <c r="D52" s="19">
        <f t="shared" si="70"/>
        <v>792.72300000000007</v>
      </c>
      <c r="E52" s="19">
        <f t="shared" si="70"/>
        <v>779.78800000000001</v>
      </c>
      <c r="F52" s="19">
        <f t="shared" si="70"/>
        <v>829.94200000000001</v>
      </c>
      <c r="G52" s="19">
        <f t="shared" si="70"/>
        <v>782.57399999999996</v>
      </c>
      <c r="H52" s="19">
        <f t="shared" si="70"/>
        <v>741.73199999999997</v>
      </c>
      <c r="I52" s="19">
        <f t="shared" si="70"/>
        <v>772.69199999999989</v>
      </c>
      <c r="J52" s="19">
        <f t="shared" si="70"/>
        <v>804.07400000000007</v>
      </c>
      <c r="K52" s="19">
        <f>+SUM(K46:K51)+K45</f>
        <v>943.91300000000001</v>
      </c>
      <c r="L52" s="7"/>
      <c r="M52" s="7"/>
      <c r="N52" s="7"/>
    </row>
    <row r="53" spans="2:40" x14ac:dyDescent="0.2">
      <c r="B53" s="2" t="s">
        <v>22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5"/>
      <c r="M53" s="5"/>
      <c r="N53" s="5"/>
    </row>
    <row r="54" spans="2:40" x14ac:dyDescent="0.2">
      <c r="B54" s="2" t="s">
        <v>42</v>
      </c>
      <c r="C54" s="11">
        <v>0.432</v>
      </c>
      <c r="D54" s="11">
        <v>0.88400000000000001</v>
      </c>
      <c r="E54" s="11">
        <v>0.2</v>
      </c>
      <c r="F54" s="11">
        <v>0.45900000000000002</v>
      </c>
      <c r="G54" s="11">
        <v>0.108</v>
      </c>
      <c r="H54" s="11">
        <v>0.28399999999999997</v>
      </c>
      <c r="I54" s="11">
        <v>0.13600000000000001</v>
      </c>
      <c r="J54" s="11">
        <v>0.214</v>
      </c>
      <c r="K54" s="11">
        <v>0.29899999999999999</v>
      </c>
      <c r="L54" s="5"/>
      <c r="M54" s="5"/>
      <c r="N54" s="5"/>
    </row>
    <row r="55" spans="2:40" x14ac:dyDescent="0.2">
      <c r="B55" s="30" t="s">
        <v>70</v>
      </c>
      <c r="C55" s="11">
        <v>121.837</v>
      </c>
      <c r="D55" s="11">
        <v>86.397000000000006</v>
      </c>
      <c r="E55" s="11">
        <v>86.251000000000005</v>
      </c>
      <c r="F55" s="11">
        <v>104.078</v>
      </c>
      <c r="G55" s="11">
        <v>97.888000000000005</v>
      </c>
      <c r="H55" s="11">
        <v>78.088999999999999</v>
      </c>
      <c r="I55" s="11">
        <v>93.787999999999997</v>
      </c>
      <c r="J55" s="11">
        <v>101.913</v>
      </c>
      <c r="K55" s="11">
        <v>117.244</v>
      </c>
      <c r="L55" s="5"/>
      <c r="M55" s="5"/>
      <c r="N55" s="5"/>
    </row>
    <row r="56" spans="2:40" x14ac:dyDescent="0.2">
      <c r="B56" s="2" t="s">
        <v>39</v>
      </c>
      <c r="C56" s="11">
        <f>4.778+11.27</f>
        <v>16.047999999999998</v>
      </c>
      <c r="D56" s="11">
        <f>4.113+9.801</f>
        <v>13.914000000000001</v>
      </c>
      <c r="E56" s="11">
        <f>3.932+8.738</f>
        <v>12.67</v>
      </c>
      <c r="F56" s="11">
        <f>4.031+8.15</f>
        <v>12.181000000000001</v>
      </c>
      <c r="G56" s="11">
        <f>4.518+8.26</f>
        <v>12.777999999999999</v>
      </c>
      <c r="H56" s="11">
        <f>4.763+7.584</f>
        <v>12.347</v>
      </c>
      <c r="I56" s="11">
        <f>4.848+9.194</f>
        <v>14.042000000000002</v>
      </c>
      <c r="J56" s="11">
        <f>5.178+7.946</f>
        <v>13.123999999999999</v>
      </c>
      <c r="K56" s="11">
        <f>4.935+7.155</f>
        <v>12.09</v>
      </c>
      <c r="L56" s="5"/>
      <c r="M56" s="5"/>
      <c r="N56" s="5"/>
    </row>
    <row r="57" spans="2:40" x14ac:dyDescent="0.2">
      <c r="B57" s="49" t="s">
        <v>102</v>
      </c>
      <c r="C57" s="11">
        <f>267.017+150.18</f>
        <v>417.197</v>
      </c>
      <c r="D57" s="11">
        <f>264.527+151.95</f>
        <v>416.47699999999998</v>
      </c>
      <c r="E57" s="11">
        <f>259.013+151.968</f>
        <v>410.98099999999999</v>
      </c>
      <c r="F57" s="11">
        <f>282.614+166.084</f>
        <v>448.69799999999998</v>
      </c>
      <c r="G57" s="11">
        <f>307.562+174.393</f>
        <v>481.95500000000004</v>
      </c>
      <c r="H57" s="11">
        <f>302.629+172.219</f>
        <v>474.84800000000001</v>
      </c>
      <c r="I57" s="11">
        <f>304.977+174.061</f>
        <v>479.03800000000001</v>
      </c>
      <c r="J57" s="11">
        <f>325.5+184.251</f>
        <v>509.75099999999998</v>
      </c>
      <c r="K57" s="11">
        <f>362.45+168.472</f>
        <v>530.92200000000003</v>
      </c>
      <c r="L57" s="5"/>
      <c r="M57" s="5"/>
      <c r="N57" s="5"/>
    </row>
    <row r="58" spans="2:40" x14ac:dyDescent="0.2">
      <c r="B58" s="30" t="s">
        <v>69</v>
      </c>
      <c r="C58" s="11">
        <v>0.80800000000000005</v>
      </c>
      <c r="D58" s="11">
        <v>0.79900000000000004</v>
      </c>
      <c r="E58" s="11">
        <v>0.73099999999999998</v>
      </c>
      <c r="F58" s="11">
        <v>0.72799999999999998</v>
      </c>
      <c r="G58" s="11">
        <v>0.13400000000000001</v>
      </c>
      <c r="H58" s="11">
        <v>0.51900000000000002</v>
      </c>
      <c r="I58" s="11">
        <v>0.495</v>
      </c>
      <c r="J58" s="11">
        <v>0.73599999999999999</v>
      </c>
      <c r="K58" s="11">
        <v>1.7170000000000001</v>
      </c>
      <c r="L58" s="5"/>
      <c r="M58" s="5"/>
      <c r="N58" s="5"/>
    </row>
    <row r="59" spans="2:40" x14ac:dyDescent="0.2">
      <c r="B59" s="2" t="s">
        <v>43</v>
      </c>
      <c r="C59" s="11">
        <v>3.9289999999999998</v>
      </c>
      <c r="D59" s="11">
        <v>3.7679999999999998</v>
      </c>
      <c r="E59" s="11">
        <v>3.6920000000000002</v>
      </c>
      <c r="F59" s="11">
        <v>3.782</v>
      </c>
      <c r="G59" s="11">
        <v>3.613</v>
      </c>
      <c r="H59" s="11">
        <v>3.629</v>
      </c>
      <c r="I59" s="11">
        <v>3.67</v>
      </c>
      <c r="J59" s="11">
        <v>3.7330000000000001</v>
      </c>
      <c r="K59" s="11">
        <v>3.556</v>
      </c>
      <c r="L59" s="5"/>
      <c r="M59" s="5"/>
      <c r="N59" s="5"/>
    </row>
    <row r="60" spans="2:40" s="6" customFormat="1" x14ac:dyDescent="0.2">
      <c r="B60" s="6" t="s">
        <v>45</v>
      </c>
      <c r="C60" s="19">
        <f t="shared" ref="C60:J60" si="71">SUM(C53:C59)</f>
        <v>560.25099999999998</v>
      </c>
      <c r="D60" s="19">
        <f t="shared" si="71"/>
        <v>522.23900000000003</v>
      </c>
      <c r="E60" s="19">
        <f t="shared" si="71"/>
        <v>514.52499999999998</v>
      </c>
      <c r="F60" s="19">
        <f t="shared" si="71"/>
        <v>569.92599999999993</v>
      </c>
      <c r="G60" s="19">
        <f t="shared" si="71"/>
        <v>596.47600000000011</v>
      </c>
      <c r="H60" s="19">
        <f t="shared" si="71"/>
        <v>569.71600000000001</v>
      </c>
      <c r="I60" s="19">
        <f t="shared" si="71"/>
        <v>591.16899999999998</v>
      </c>
      <c r="J60" s="19">
        <f t="shared" si="71"/>
        <v>629.47099999999989</v>
      </c>
      <c r="K60" s="19">
        <f>SUM(K53:K59)</f>
        <v>665.82800000000009</v>
      </c>
      <c r="L60" s="7"/>
      <c r="M60" s="7"/>
      <c r="N60" s="7"/>
    </row>
    <row r="61" spans="2:40" x14ac:dyDescent="0.2">
      <c r="B61" s="30" t="s">
        <v>71</v>
      </c>
      <c r="C61" s="11">
        <f t="shared" ref="C61:J61" si="72">+C52-C60</f>
        <v>255.82900000000006</v>
      </c>
      <c r="D61" s="11">
        <f t="shared" si="72"/>
        <v>270.48400000000004</v>
      </c>
      <c r="E61" s="11">
        <f t="shared" si="72"/>
        <v>265.26300000000003</v>
      </c>
      <c r="F61" s="11">
        <f t="shared" si="72"/>
        <v>260.01600000000008</v>
      </c>
      <c r="G61" s="11">
        <f t="shared" si="72"/>
        <v>186.09799999999984</v>
      </c>
      <c r="H61" s="11">
        <f t="shared" si="72"/>
        <v>172.01599999999996</v>
      </c>
      <c r="I61" s="11">
        <f t="shared" si="72"/>
        <v>181.52299999999991</v>
      </c>
      <c r="J61" s="11">
        <f t="shared" si="72"/>
        <v>174.60300000000018</v>
      </c>
      <c r="K61" s="11">
        <f>+K52-K60</f>
        <v>278.08499999999992</v>
      </c>
      <c r="L61" s="5"/>
      <c r="M61" s="5"/>
      <c r="N61" s="5"/>
    </row>
    <row r="62" spans="2:40" x14ac:dyDescent="0.2">
      <c r="B62" s="2" t="s">
        <v>44</v>
      </c>
      <c r="C62" s="11">
        <f t="shared" ref="C62:J62" si="73">+C60+C61</f>
        <v>816.08</v>
      </c>
      <c r="D62" s="11">
        <f t="shared" si="73"/>
        <v>792.72300000000007</v>
      </c>
      <c r="E62" s="11">
        <f t="shared" si="73"/>
        <v>779.78800000000001</v>
      </c>
      <c r="F62" s="11">
        <f t="shared" si="73"/>
        <v>829.94200000000001</v>
      </c>
      <c r="G62" s="11">
        <f t="shared" si="73"/>
        <v>782.57399999999996</v>
      </c>
      <c r="H62" s="11">
        <f t="shared" si="73"/>
        <v>741.73199999999997</v>
      </c>
      <c r="I62" s="11">
        <f t="shared" si="73"/>
        <v>772.69199999999989</v>
      </c>
      <c r="J62" s="11">
        <f t="shared" si="73"/>
        <v>804.07400000000007</v>
      </c>
      <c r="K62" s="11">
        <f>+K60+K61</f>
        <v>943.91300000000001</v>
      </c>
      <c r="L62" s="5"/>
      <c r="M62" s="5"/>
      <c r="N62" s="5"/>
    </row>
    <row r="63" spans="2:40" x14ac:dyDescent="0.2">
      <c r="L63" s="5"/>
      <c r="M63" s="5"/>
      <c r="N63" s="5"/>
    </row>
    <row r="64" spans="2:40" x14ac:dyDescent="0.2">
      <c r="B64" s="50" t="s">
        <v>104</v>
      </c>
      <c r="F64" s="11">
        <f t="shared" ref="F64:J64" si="74">+SUM(C26:F26)</f>
        <v>41.390000000000043</v>
      </c>
      <c r="G64" s="11">
        <f t="shared" si="74"/>
        <v>42.833999999999982</v>
      </c>
      <c r="H64" s="11">
        <f t="shared" si="74"/>
        <v>48.788000000000004</v>
      </c>
      <c r="I64" s="11">
        <f t="shared" si="74"/>
        <v>56.284999999999989</v>
      </c>
      <c r="J64" s="11">
        <f t="shared" si="74"/>
        <v>63.556999999999981</v>
      </c>
      <c r="K64" s="11">
        <f>+SUM(H26:K26)</f>
        <v>179.86900000000006</v>
      </c>
      <c r="L64" s="5"/>
      <c r="M64" s="5"/>
      <c r="N64" s="5"/>
    </row>
    <row r="65" spans="2:11" s="24" customFormat="1" x14ac:dyDescent="0.2">
      <c r="B65" s="51" t="s">
        <v>105</v>
      </c>
      <c r="F65" s="24">
        <f t="shared" ref="F65:J65" si="75">+F64/(F43+F44+F45+F46+F47+F48+F49+F51)</f>
        <v>4.4373258545256158E-2</v>
      </c>
      <c r="G65" s="24">
        <f t="shared" si="75"/>
        <v>4.884384428900812E-2</v>
      </c>
      <c r="H65" s="24">
        <f t="shared" si="75"/>
        <v>6.0445598589586196E-2</v>
      </c>
      <c r="I65" s="24">
        <f t="shared" si="75"/>
        <v>6.5353519754679013E-2</v>
      </c>
      <c r="J65" s="24">
        <f t="shared" si="75"/>
        <v>6.9197721462758169E-2</v>
      </c>
      <c r="K65" s="24">
        <f>+K64/(K43+K44+K45+K46+K47+K48+K49+K51)</f>
        <v>0.16988278051309857</v>
      </c>
    </row>
    <row r="67" spans="2:11" x14ac:dyDescent="0.2">
      <c r="B67" s="47" t="s">
        <v>81</v>
      </c>
      <c r="D67" s="11">
        <f>+D26</f>
        <v>8.2780000000000076</v>
      </c>
      <c r="K67" s="11">
        <f>+K26</f>
        <v>132.43600000000004</v>
      </c>
    </row>
    <row r="68" spans="2:11" x14ac:dyDescent="0.2">
      <c r="B68" s="47" t="s">
        <v>82</v>
      </c>
      <c r="D68" s="11">
        <v>3.5110000000000001</v>
      </c>
    </row>
    <row r="69" spans="2:11" x14ac:dyDescent="0.2">
      <c r="B69" s="47" t="s">
        <v>83</v>
      </c>
      <c r="D69" s="11">
        <v>2.9769999999999999</v>
      </c>
    </row>
    <row r="70" spans="2:11" x14ac:dyDescent="0.2">
      <c r="B70" s="47" t="s">
        <v>84</v>
      </c>
      <c r="D70" s="11">
        <v>31.094999999999999</v>
      </c>
    </row>
    <row r="71" spans="2:11" x14ac:dyDescent="0.2">
      <c r="B71" s="47" t="s">
        <v>85</v>
      </c>
      <c r="D71" s="11">
        <v>0.38900000000000001</v>
      </c>
    </row>
    <row r="72" spans="2:11" x14ac:dyDescent="0.2">
      <c r="B72" s="47" t="s">
        <v>86</v>
      </c>
      <c r="D72" s="11">
        <v>5.3140000000000001</v>
      </c>
    </row>
    <row r="73" spans="2:11" x14ac:dyDescent="0.2">
      <c r="B73" s="47" t="s">
        <v>36</v>
      </c>
      <c r="D73" s="11">
        <v>9.3889999999999993</v>
      </c>
    </row>
    <row r="74" spans="2:11" x14ac:dyDescent="0.2">
      <c r="B74" s="47" t="s">
        <v>39</v>
      </c>
      <c r="D74" s="11">
        <v>-0.28299999999999997</v>
      </c>
    </row>
    <row r="75" spans="2:11" x14ac:dyDescent="0.2">
      <c r="B75" s="47" t="s">
        <v>90</v>
      </c>
      <c r="D75" s="11">
        <v>-2.71</v>
      </c>
    </row>
    <row r="76" spans="2:11" x14ac:dyDescent="0.2">
      <c r="B76" s="47" t="s">
        <v>87</v>
      </c>
      <c r="D76" s="11">
        <v>-6.6520000000000001</v>
      </c>
    </row>
    <row r="77" spans="2:11" x14ac:dyDescent="0.2">
      <c r="B77" s="47" t="s">
        <v>42</v>
      </c>
      <c r="D77" s="11">
        <v>0.48199999999999998</v>
      </c>
    </row>
    <row r="78" spans="2:11" x14ac:dyDescent="0.2">
      <c r="B78" s="47" t="s">
        <v>88</v>
      </c>
      <c r="D78" s="11">
        <v>-31.366</v>
      </c>
    </row>
    <row r="79" spans="2:11" x14ac:dyDescent="0.2">
      <c r="B79" s="47" t="s">
        <v>68</v>
      </c>
      <c r="D79" s="11">
        <v>10.257999999999999</v>
      </c>
    </row>
    <row r="80" spans="2:11" x14ac:dyDescent="0.2">
      <c r="B80" s="47" t="s">
        <v>89</v>
      </c>
      <c r="D80" s="11">
        <v>2.9000000000000001E-2</v>
      </c>
    </row>
    <row r="81" spans="2:11" x14ac:dyDescent="0.2">
      <c r="B81" s="47" t="s">
        <v>91</v>
      </c>
      <c r="D81" s="11">
        <f>+SUM(D73:D80)</f>
        <v>-20.853000000000002</v>
      </c>
    </row>
    <row r="82" spans="2:11" s="6" customFormat="1" x14ac:dyDescent="0.2">
      <c r="B82" s="6" t="s">
        <v>92</v>
      </c>
      <c r="C82" s="19"/>
      <c r="D82" s="19">
        <f>+SUM(D68:D81)</f>
        <v>1.5799999999999912</v>
      </c>
      <c r="E82" s="19"/>
      <c r="F82" s="19"/>
      <c r="G82" s="19"/>
      <c r="H82" s="19"/>
      <c r="I82" s="19"/>
      <c r="J82" s="19"/>
      <c r="K82" s="19"/>
    </row>
    <row r="84" spans="2:11" x14ac:dyDescent="0.2">
      <c r="B84" s="47" t="s">
        <v>93</v>
      </c>
      <c r="D84" s="11">
        <v>-0.86699999999999999</v>
      </c>
    </row>
    <row r="85" spans="2:11" x14ac:dyDescent="0.2">
      <c r="B85" s="47" t="s">
        <v>94</v>
      </c>
      <c r="D85" s="11">
        <v>-1.0149999999999999</v>
      </c>
    </row>
    <row r="86" spans="2:11" x14ac:dyDescent="0.2">
      <c r="B86" s="47" t="s">
        <v>95</v>
      </c>
      <c r="D86" s="11">
        <f>+SUM(D84:D85)</f>
        <v>-1.8819999999999999</v>
      </c>
    </row>
    <row r="88" spans="2:11" x14ac:dyDescent="0.2">
      <c r="B88" s="47" t="s">
        <v>96</v>
      </c>
      <c r="D88" s="11">
        <v>-18.922999999999998</v>
      </c>
    </row>
    <row r="89" spans="2:11" x14ac:dyDescent="0.2">
      <c r="B89" s="47" t="s">
        <v>97</v>
      </c>
      <c r="D89" s="11">
        <v>0.68700000000000006</v>
      </c>
    </row>
    <row r="90" spans="2:11" x14ac:dyDescent="0.2">
      <c r="B90" s="47" t="s">
        <v>98</v>
      </c>
      <c r="D90" s="11">
        <v>-6.3E-2</v>
      </c>
    </row>
    <row r="91" spans="2:11" x14ac:dyDescent="0.2">
      <c r="B91" s="47" t="s">
        <v>99</v>
      </c>
      <c r="D91" s="11">
        <f>+SUM(D88:D90)</f>
        <v>-18.298999999999996</v>
      </c>
    </row>
    <row r="92" spans="2:11" x14ac:dyDescent="0.2">
      <c r="B92" s="47" t="s">
        <v>100</v>
      </c>
      <c r="D92" s="11">
        <v>-11.045999999999999</v>
      </c>
    </row>
    <row r="93" spans="2:11" x14ac:dyDescent="0.2">
      <c r="B93" s="47" t="s">
        <v>101</v>
      </c>
      <c r="D93" s="11">
        <f>+D82+D86+D91+D92</f>
        <v>-29.647000000000006</v>
      </c>
    </row>
    <row r="95" spans="2:11" x14ac:dyDescent="0.2">
      <c r="B95" s="49" t="s">
        <v>103</v>
      </c>
      <c r="D95" s="11">
        <f>+D82-D70+D84</f>
        <v>-30.382000000000009</v>
      </c>
    </row>
  </sheetData>
  <pageMargins left="0.7" right="0.7" top="0.75" bottom="0.75" header="0.3" footer="0.3"/>
  <ignoredErrors>
    <ignoredError sqref="S9:T9 W28:X28 Q9:R9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2E93-C03F-4EC4-B7CE-44DCBBD729DA}">
  <dimension ref="A1:N1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RowHeight="12.75" x14ac:dyDescent="0.2"/>
  <cols>
    <col min="1" max="1" width="2.7109375" style="30" customWidth="1"/>
    <col min="2" max="2" width="30.7109375" style="30" customWidth="1"/>
    <col min="3" max="16384" width="9.140625" style="33"/>
  </cols>
  <sheetData>
    <row r="1" spans="2:14" s="30" customFormat="1" ht="12" customHeight="1" x14ac:dyDescent="0.2"/>
    <row r="2" spans="2:14" s="30" customFormat="1" ht="34.5" x14ac:dyDescent="0.45">
      <c r="B2" s="1" t="s">
        <v>0</v>
      </c>
    </row>
    <row r="3" spans="2:14" s="30" customFormat="1" x14ac:dyDescent="0.2">
      <c r="B3" s="32" t="s">
        <v>51</v>
      </c>
    </row>
    <row r="4" spans="2:14" s="30" customFormat="1" x14ac:dyDescent="0.2">
      <c r="B4" s="32" t="s">
        <v>1</v>
      </c>
      <c r="C4" s="29" t="s">
        <v>6</v>
      </c>
      <c r="D4" s="29" t="s">
        <v>46</v>
      </c>
      <c r="E4" s="29" t="s">
        <v>47</v>
      </c>
      <c r="F4" s="29" t="s">
        <v>49</v>
      </c>
      <c r="G4" s="29" t="s">
        <v>50</v>
      </c>
      <c r="L4" s="2">
        <v>2023</v>
      </c>
      <c r="M4" s="2">
        <v>2024</v>
      </c>
    </row>
    <row r="5" spans="2:14" x14ac:dyDescent="0.2">
      <c r="B5" s="30" t="s">
        <v>59</v>
      </c>
      <c r="C5" s="34">
        <v>122.337</v>
      </c>
      <c r="D5" s="34">
        <v>122.124</v>
      </c>
      <c r="E5" s="34">
        <v>120.3</v>
      </c>
      <c r="F5" s="34">
        <v>125.05200000000001</v>
      </c>
      <c r="G5" s="34">
        <v>131.06899999999999</v>
      </c>
      <c r="H5" s="34"/>
      <c r="I5" s="34"/>
      <c r="J5" s="34"/>
      <c r="K5" s="34"/>
      <c r="L5" s="34">
        <v>469.24400000000003</v>
      </c>
      <c r="M5" s="34">
        <v>498.54500000000002</v>
      </c>
      <c r="N5" s="34"/>
    </row>
    <row r="6" spans="2:14" x14ac:dyDescent="0.2">
      <c r="B6" s="30" t="s">
        <v>60</v>
      </c>
      <c r="C6" s="34">
        <v>81.141000000000005</v>
      </c>
      <c r="D6" s="34">
        <v>76.025999999999996</v>
      </c>
      <c r="E6" s="34">
        <v>80.697000000000003</v>
      </c>
      <c r="F6" s="34">
        <v>91.756</v>
      </c>
      <c r="G6" s="34">
        <v>92.222999999999999</v>
      </c>
      <c r="H6" s="34"/>
      <c r="I6" s="34"/>
      <c r="J6" s="34"/>
      <c r="K6" s="34"/>
      <c r="L6" s="34">
        <v>315.346</v>
      </c>
      <c r="M6" s="34">
        <v>340.702</v>
      </c>
      <c r="N6" s="34"/>
    </row>
    <row r="7" spans="2:14" x14ac:dyDescent="0.2">
      <c r="B7" s="30" t="s">
        <v>63</v>
      </c>
      <c r="C7" s="34">
        <f>+C6+C5</f>
        <v>203.47800000000001</v>
      </c>
      <c r="D7" s="34">
        <f t="shared" ref="D7:M7" si="0">+D6+D5</f>
        <v>198.14999999999998</v>
      </c>
      <c r="E7" s="34">
        <f t="shared" si="0"/>
        <v>200.99700000000001</v>
      </c>
      <c r="F7" s="34">
        <f t="shared" si="0"/>
        <v>216.80799999999999</v>
      </c>
      <c r="G7" s="34">
        <f t="shared" si="0"/>
        <v>223.29199999999997</v>
      </c>
      <c r="H7" s="34"/>
      <c r="I7" s="34"/>
      <c r="J7" s="34"/>
      <c r="K7" s="34"/>
      <c r="L7" s="34">
        <f t="shared" si="0"/>
        <v>784.59</v>
      </c>
      <c r="M7" s="34">
        <f t="shared" si="0"/>
        <v>839.24700000000007</v>
      </c>
      <c r="N7" s="34"/>
    </row>
    <row r="8" spans="2:14" x14ac:dyDescent="0.2"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 s="31" customFormat="1" x14ac:dyDescent="0.2">
      <c r="B9" s="31" t="s">
        <v>61</v>
      </c>
      <c r="E9" s="31">
        <v>0.04</v>
      </c>
      <c r="F9" s="31">
        <v>0.16</v>
      </c>
      <c r="G9" s="31">
        <f>+G5/C5-1</f>
        <v>7.1376607240654755E-2</v>
      </c>
      <c r="L9" s="31">
        <v>0.02</v>
      </c>
      <c r="M9" s="31">
        <f>+M5/L5-1</f>
        <v>6.2442993410677605E-2</v>
      </c>
    </row>
    <row r="10" spans="2:14" s="31" customFormat="1" x14ac:dyDescent="0.2">
      <c r="B10" s="31" t="s">
        <v>62</v>
      </c>
      <c r="E10" s="31">
        <v>0.12</v>
      </c>
      <c r="F10" s="31">
        <v>0.06</v>
      </c>
      <c r="G10" s="31">
        <f t="shared" ref="G10:G11" si="1">+G6/C6-1</f>
        <v>0.13657706954560567</v>
      </c>
      <c r="L10" s="31">
        <v>0.01</v>
      </c>
      <c r="M10" s="31">
        <f t="shared" ref="M10:M11" si="2">+M6/L6-1</f>
        <v>8.0406918115339954E-2</v>
      </c>
    </row>
    <row r="11" spans="2:14" s="31" customFormat="1" x14ac:dyDescent="0.2">
      <c r="B11" s="31" t="s">
        <v>63</v>
      </c>
      <c r="E11" s="31">
        <v>7.0000000000000007E-2</v>
      </c>
      <c r="F11" s="31">
        <v>0.11</v>
      </c>
      <c r="G11" s="31">
        <f t="shared" si="1"/>
        <v>9.7376620568316863E-2</v>
      </c>
      <c r="L11" s="31">
        <v>0.02</v>
      </c>
      <c r="M11" s="31">
        <f t="shared" si="2"/>
        <v>6.966313616028752E-2</v>
      </c>
    </row>
    <row r="12" spans="2:14" x14ac:dyDescent="0.2"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2:14" x14ac:dyDescent="0.2"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2:14" x14ac:dyDescent="0.2"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2:14" x14ac:dyDescent="0.2"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2024-02-18T20:15:18Z</dcterms:created>
  <dcterms:modified xsi:type="dcterms:W3CDTF">2024-07-19T09:50:36Z</dcterms:modified>
</cp:coreProperties>
</file>