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Internet\"/>
    </mc:Choice>
  </mc:AlternateContent>
  <xr:revisionPtr revIDLastSave="0" documentId="13_ncr:1_{F6D7C0B6-D23C-4941-AD25-4639F775E070}" xr6:coauthVersionLast="47" xr6:coauthVersionMax="47" xr10:uidLastSave="{00000000-0000-0000-0000-000000000000}"/>
  <bookViews>
    <workbookView xWindow="-120" yWindow="-120" windowWidth="29040" windowHeight="15840" activeTab="1" xr2:uid="{862965AD-F359-4C27-95B8-89234ACE84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" i="2" l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D10" i="2"/>
  <c r="AE9" i="2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D9" i="2"/>
  <c r="AE7" i="2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D7" i="2"/>
  <c r="AE6" i="2"/>
  <c r="AF6" i="2" s="1"/>
  <c r="AD6" i="2"/>
  <c r="L7" i="1"/>
  <c r="L6" i="1"/>
  <c r="L4" i="1"/>
  <c r="AU13" i="2"/>
  <c r="AU10" i="2"/>
  <c r="AD26" i="2"/>
  <c r="AD14" i="2"/>
  <c r="AC28" i="2"/>
  <c r="AF11" i="2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E11" i="2"/>
  <c r="AD11" i="2"/>
  <c r="AD8" i="2"/>
  <c r="AD21" i="2"/>
  <c r="AN2" i="2"/>
  <c r="AO2" i="2" s="1"/>
  <c r="AP2" i="2" s="1"/>
  <c r="AQ2" i="2" s="1"/>
  <c r="AR2" i="2" s="1"/>
  <c r="W12" i="2"/>
  <c r="W8" i="2"/>
  <c r="W21" i="2" s="1"/>
  <c r="X14" i="2"/>
  <c r="X26" i="2"/>
  <c r="X12" i="2"/>
  <c r="X8" i="2"/>
  <c r="X21" i="2" s="1"/>
  <c r="Y14" i="2"/>
  <c r="Y26" i="2"/>
  <c r="Y12" i="2"/>
  <c r="Y8" i="2"/>
  <c r="Y21" i="2" s="1"/>
  <c r="Z14" i="2"/>
  <c r="Z26" i="2"/>
  <c r="Z12" i="2"/>
  <c r="Z8" i="2"/>
  <c r="Z21" i="2" s="1"/>
  <c r="AA14" i="2"/>
  <c r="AA26" i="2"/>
  <c r="AA12" i="2"/>
  <c r="AA8" i="2"/>
  <c r="AB14" i="2"/>
  <c r="AB12" i="2"/>
  <c r="AB26" i="2"/>
  <c r="AC26" i="2"/>
  <c r="AC19" i="2"/>
  <c r="AC16" i="2"/>
  <c r="AC14" i="2"/>
  <c r="AC12" i="2"/>
  <c r="AC11" i="2"/>
  <c r="AC10" i="2"/>
  <c r="AC9" i="2"/>
  <c r="AC21" i="2"/>
  <c r="AC8" i="2"/>
  <c r="AC7" i="2"/>
  <c r="AC6" i="2"/>
  <c r="AE12" i="2" l="1"/>
  <c r="AD12" i="2"/>
  <c r="AD13" i="2" s="1"/>
  <c r="AF8" i="2"/>
  <c r="AF21" i="2" s="1"/>
  <c r="AF26" i="2"/>
  <c r="AG6" i="2"/>
  <c r="AE8" i="2"/>
  <c r="AE21" i="2" s="1"/>
  <c r="AE26" i="2"/>
  <c r="AF12" i="2"/>
  <c r="AF13" i="2" s="1"/>
  <c r="AF22" i="2" s="1"/>
  <c r="W13" i="2"/>
  <c r="X13" i="2"/>
  <c r="Y13" i="2"/>
  <c r="Z13" i="2"/>
  <c r="AA13" i="2"/>
  <c r="AA22" i="2" s="1"/>
  <c r="AA15" i="2"/>
  <c r="AA21" i="2"/>
  <c r="AB8" i="2"/>
  <c r="AC13" i="2"/>
  <c r="AC15" i="2"/>
  <c r="AC22" i="2"/>
  <c r="N85" i="2"/>
  <c r="N84" i="2"/>
  <c r="N81" i="2"/>
  <c r="N76" i="2"/>
  <c r="N71" i="2"/>
  <c r="N69" i="2"/>
  <c r="N51" i="2"/>
  <c r="K85" i="2"/>
  <c r="K84" i="2"/>
  <c r="K81" i="2"/>
  <c r="K76" i="2"/>
  <c r="K71" i="2"/>
  <c r="K69" i="2"/>
  <c r="K51" i="2"/>
  <c r="O85" i="2"/>
  <c r="O84" i="2"/>
  <c r="O81" i="2"/>
  <c r="O76" i="2"/>
  <c r="O71" i="2"/>
  <c r="O69" i="2"/>
  <c r="O51" i="2"/>
  <c r="L9" i="1"/>
  <c r="L85" i="2"/>
  <c r="L84" i="2"/>
  <c r="L81" i="2"/>
  <c r="L76" i="2"/>
  <c r="L71" i="2"/>
  <c r="L69" i="2"/>
  <c r="L51" i="2"/>
  <c r="P85" i="2"/>
  <c r="P84" i="2"/>
  <c r="P81" i="2"/>
  <c r="P76" i="2"/>
  <c r="P71" i="2"/>
  <c r="P69" i="2"/>
  <c r="P51" i="2"/>
  <c r="M81" i="2"/>
  <c r="M71" i="2"/>
  <c r="M76" i="2" s="1"/>
  <c r="M69" i="2"/>
  <c r="M85" i="2" s="1"/>
  <c r="Q80" i="2"/>
  <c r="Q81" i="2" s="1"/>
  <c r="Q71" i="2"/>
  <c r="Q76" i="2" s="1"/>
  <c r="Q69" i="2"/>
  <c r="Q85" i="2" s="1"/>
  <c r="Q42" i="2"/>
  <c r="Q41" i="2"/>
  <c r="Q40" i="2"/>
  <c r="Q35" i="2"/>
  <c r="Q31" i="2"/>
  <c r="Q29" i="2"/>
  <c r="Q14" i="2"/>
  <c r="Q26" i="2"/>
  <c r="Q12" i="2"/>
  <c r="Q8" i="2"/>
  <c r="P31" i="2"/>
  <c r="P40" i="2"/>
  <c r="P42" i="2"/>
  <c r="P41" i="2"/>
  <c r="P35" i="2"/>
  <c r="P29" i="2"/>
  <c r="P14" i="2"/>
  <c r="P12" i="2"/>
  <c r="P8" i="2"/>
  <c r="J81" i="2"/>
  <c r="J71" i="2"/>
  <c r="J76" i="2" s="1"/>
  <c r="J69" i="2"/>
  <c r="J42" i="2"/>
  <c r="J40" i="2"/>
  <c r="J35" i="2"/>
  <c r="J31" i="2"/>
  <c r="J29" i="2"/>
  <c r="AD22" i="2" l="1"/>
  <c r="AD15" i="2"/>
  <c r="AD16" i="2" s="1"/>
  <c r="AD24" i="2" s="1"/>
  <c r="AG26" i="2"/>
  <c r="AG8" i="2"/>
  <c r="AG21" i="2" s="1"/>
  <c r="AH6" i="2"/>
  <c r="AE13" i="2"/>
  <c r="AG12" i="2"/>
  <c r="AG13" i="2" s="1"/>
  <c r="AG22" i="2" s="1"/>
  <c r="W22" i="2"/>
  <c r="W15" i="2"/>
  <c r="X22" i="2"/>
  <c r="X15" i="2"/>
  <c r="Y15" i="2"/>
  <c r="Y22" i="2"/>
  <c r="Z22" i="2"/>
  <c r="Z15" i="2"/>
  <c r="AA17" i="2"/>
  <c r="AA24" i="2"/>
  <c r="AB13" i="2"/>
  <c r="AB21" i="2"/>
  <c r="AC24" i="2"/>
  <c r="AC17" i="2"/>
  <c r="J84" i="2"/>
  <c r="Q84" i="2"/>
  <c r="J85" i="2"/>
  <c r="M84" i="2"/>
  <c r="Q28" i="2"/>
  <c r="Q44" i="2"/>
  <c r="Q46" i="2" s="1"/>
  <c r="P37" i="2"/>
  <c r="Q37" i="2"/>
  <c r="Q13" i="2"/>
  <c r="Q15" i="2" s="1"/>
  <c r="Q21" i="2"/>
  <c r="P44" i="2"/>
  <c r="P46" i="2" s="1"/>
  <c r="P28" i="2"/>
  <c r="J44" i="2"/>
  <c r="J46" i="2" s="1"/>
  <c r="P13" i="2"/>
  <c r="P22" i="2" s="1"/>
  <c r="P21" i="2"/>
  <c r="J37" i="2"/>
  <c r="J28" i="2"/>
  <c r="K42" i="2"/>
  <c r="K40" i="2"/>
  <c r="K35" i="2"/>
  <c r="K31" i="2"/>
  <c r="K29" i="2"/>
  <c r="L42" i="2"/>
  <c r="L40" i="2"/>
  <c r="L31" i="2"/>
  <c r="L35" i="2"/>
  <c r="L29" i="2"/>
  <c r="M40" i="2"/>
  <c r="M42" i="2"/>
  <c r="M35" i="2"/>
  <c r="M31" i="2"/>
  <c r="M29" i="2"/>
  <c r="N40" i="2"/>
  <c r="N42" i="2"/>
  <c r="N31" i="2"/>
  <c r="N35" i="2"/>
  <c r="N29" i="2"/>
  <c r="N28" i="2" s="1"/>
  <c r="O42" i="2"/>
  <c r="O40" i="2"/>
  <c r="O31" i="2"/>
  <c r="O35" i="2"/>
  <c r="O29" i="2"/>
  <c r="O28" i="2" s="1"/>
  <c r="P26" i="2"/>
  <c r="AD17" i="2" l="1"/>
  <c r="AI6" i="2"/>
  <c r="AH26" i="2"/>
  <c r="AH8" i="2"/>
  <c r="AH21" i="2" s="1"/>
  <c r="AD28" i="2"/>
  <c r="AD23" i="2"/>
  <c r="AE22" i="2"/>
  <c r="AH12" i="2"/>
  <c r="AH13" i="2" s="1"/>
  <c r="AH22" i="2" s="1"/>
  <c r="W24" i="2"/>
  <c r="W17" i="2"/>
  <c r="X24" i="2"/>
  <c r="X17" i="2"/>
  <c r="Y24" i="2"/>
  <c r="Y17" i="2"/>
  <c r="Z24" i="2"/>
  <c r="Z17" i="2"/>
  <c r="AA18" i="2"/>
  <c r="AA23" i="2"/>
  <c r="AB15" i="2"/>
  <c r="AB22" i="2"/>
  <c r="AC23" i="2"/>
  <c r="AC18" i="2"/>
  <c r="O44" i="2"/>
  <c r="O46" i="2" s="1"/>
  <c r="P15" i="2"/>
  <c r="P17" i="2" s="1"/>
  <c r="N44" i="2"/>
  <c r="N46" i="2" s="1"/>
  <c r="K44" i="2"/>
  <c r="K46" i="2" s="1"/>
  <c r="Q22" i="2"/>
  <c r="Q24" i="2"/>
  <c r="Q17" i="2"/>
  <c r="Q51" i="2" s="1"/>
  <c r="O37" i="2"/>
  <c r="K37" i="2"/>
  <c r="K28" i="2"/>
  <c r="L44" i="2"/>
  <c r="L46" i="2" s="1"/>
  <c r="L37" i="2"/>
  <c r="L28" i="2"/>
  <c r="M44" i="2"/>
  <c r="M46" i="2" s="1"/>
  <c r="M37" i="2"/>
  <c r="M28" i="2"/>
  <c r="N37" i="2"/>
  <c r="H14" i="2"/>
  <c r="H26" i="2"/>
  <c r="H12" i="2"/>
  <c r="H8" i="2"/>
  <c r="H21" i="2" s="1"/>
  <c r="L14" i="2"/>
  <c r="L26" i="2"/>
  <c r="L12" i="2"/>
  <c r="L8" i="2"/>
  <c r="I14" i="2"/>
  <c r="I26" i="2"/>
  <c r="I12" i="2"/>
  <c r="I8" i="2"/>
  <c r="M14" i="2"/>
  <c r="M26" i="2"/>
  <c r="M12" i="2"/>
  <c r="M8" i="2"/>
  <c r="M21" i="2" s="1"/>
  <c r="J14" i="2"/>
  <c r="J26" i="2"/>
  <c r="J12" i="2"/>
  <c r="J8" i="2"/>
  <c r="J21" i="2" s="1"/>
  <c r="N14" i="2"/>
  <c r="N26" i="2"/>
  <c r="N12" i="2"/>
  <c r="N8" i="2"/>
  <c r="K14" i="2"/>
  <c r="K26" i="2"/>
  <c r="K12" i="2"/>
  <c r="K8" i="2"/>
  <c r="K21" i="2" s="1"/>
  <c r="O26" i="2"/>
  <c r="O14" i="2"/>
  <c r="O8" i="2"/>
  <c r="O12" i="2"/>
  <c r="L5" i="1"/>
  <c r="L8" i="1" s="1"/>
  <c r="L10" i="1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J6" i="2" l="1"/>
  <c r="AI26" i="2"/>
  <c r="AI8" i="2"/>
  <c r="AI21" i="2" s="1"/>
  <c r="AE14" i="2"/>
  <c r="AE15" i="2" s="1"/>
  <c r="AI12" i="2"/>
  <c r="AI13" i="2" s="1"/>
  <c r="AI22" i="2" s="1"/>
  <c r="W23" i="2"/>
  <c r="W18" i="2"/>
  <c r="X18" i="2"/>
  <c r="X23" i="2"/>
  <c r="Y23" i="2"/>
  <c r="Y18" i="2"/>
  <c r="Z18" i="2"/>
  <c r="Z23" i="2"/>
  <c r="AB17" i="2"/>
  <c r="AB24" i="2"/>
  <c r="P24" i="2"/>
  <c r="Q18" i="2"/>
  <c r="Q23" i="2"/>
  <c r="P23" i="2"/>
  <c r="P18" i="2"/>
  <c r="O13" i="2"/>
  <c r="O22" i="2" s="1"/>
  <c r="O21" i="2"/>
  <c r="H13" i="2"/>
  <c r="L13" i="2"/>
  <c r="L22" i="2" s="1"/>
  <c r="L21" i="2"/>
  <c r="I13" i="2"/>
  <c r="I22" i="2" s="1"/>
  <c r="I21" i="2"/>
  <c r="M13" i="2"/>
  <c r="J13" i="2"/>
  <c r="N13" i="2"/>
  <c r="N15" i="2" s="1"/>
  <c r="N21" i="2"/>
  <c r="K13" i="2"/>
  <c r="AK6" i="2" l="1"/>
  <c r="AJ26" i="2"/>
  <c r="AJ8" i="2"/>
  <c r="AJ21" i="2" s="1"/>
  <c r="AE16" i="2"/>
  <c r="AE24" i="2" s="1"/>
  <c r="AJ12" i="2"/>
  <c r="AJ13" i="2" s="1"/>
  <c r="AJ22" i="2" s="1"/>
  <c r="AB23" i="2"/>
  <c r="AB18" i="2"/>
  <c r="O15" i="2"/>
  <c r="O24" i="2" s="1"/>
  <c r="H22" i="2"/>
  <c r="H15" i="2"/>
  <c r="L15" i="2"/>
  <c r="L17" i="2" s="1"/>
  <c r="I15" i="2"/>
  <c r="I24" i="2" s="1"/>
  <c r="M22" i="2"/>
  <c r="M15" i="2"/>
  <c r="J15" i="2"/>
  <c r="J22" i="2"/>
  <c r="N22" i="2"/>
  <c r="N24" i="2"/>
  <c r="N17" i="2"/>
  <c r="K22" i="2"/>
  <c r="K15" i="2"/>
  <c r="AL6" i="2" l="1"/>
  <c r="AK26" i="2"/>
  <c r="AK8" i="2"/>
  <c r="AK21" i="2" s="1"/>
  <c r="AE17" i="2"/>
  <c r="AK12" i="2"/>
  <c r="AK13" i="2" s="1"/>
  <c r="AK22" i="2" s="1"/>
  <c r="O17" i="2"/>
  <c r="Q48" i="2" s="1"/>
  <c r="Q49" i="2" s="1"/>
  <c r="H24" i="2"/>
  <c r="H17" i="2"/>
  <c r="L24" i="2"/>
  <c r="L23" i="2"/>
  <c r="L18" i="2"/>
  <c r="I17" i="2"/>
  <c r="M24" i="2"/>
  <c r="M17" i="2"/>
  <c r="M51" i="2" s="1"/>
  <c r="J24" i="2"/>
  <c r="J17" i="2"/>
  <c r="N18" i="2"/>
  <c r="N23" i="2"/>
  <c r="K24" i="2"/>
  <c r="K17" i="2"/>
  <c r="AM6" i="2" l="1"/>
  <c r="AL26" i="2"/>
  <c r="AL8" i="2"/>
  <c r="AL21" i="2" s="1"/>
  <c r="AE23" i="2"/>
  <c r="AE28" i="2"/>
  <c r="AL12" i="2"/>
  <c r="AL13" i="2" s="1"/>
  <c r="AL22" i="2" s="1"/>
  <c r="O23" i="2"/>
  <c r="O18" i="2"/>
  <c r="O48" i="2"/>
  <c r="O49" i="2" s="1"/>
  <c r="P48" i="2"/>
  <c r="P49" i="2" s="1"/>
  <c r="I23" i="2"/>
  <c r="L48" i="2"/>
  <c r="L49" i="2" s="1"/>
  <c r="J48" i="2"/>
  <c r="J49" i="2" s="1"/>
  <c r="K48" i="2"/>
  <c r="K49" i="2" s="1"/>
  <c r="N48" i="2"/>
  <c r="N49" i="2" s="1"/>
  <c r="J51" i="2"/>
  <c r="M48" i="2"/>
  <c r="M49" i="2" s="1"/>
  <c r="H23" i="2"/>
  <c r="H18" i="2"/>
  <c r="I18" i="2"/>
  <c r="M23" i="2"/>
  <c r="M18" i="2"/>
  <c r="J23" i="2"/>
  <c r="J18" i="2"/>
  <c r="K23" i="2"/>
  <c r="K18" i="2"/>
  <c r="AN6" i="2" l="1"/>
  <c r="AM8" i="2"/>
  <c r="AM21" i="2" s="1"/>
  <c r="AM26" i="2"/>
  <c r="AF14" i="2"/>
  <c r="AF15" i="2" s="1"/>
  <c r="AM12" i="2"/>
  <c r="AM13" i="2" s="1"/>
  <c r="AM22" i="2" s="1"/>
  <c r="AO6" i="2" l="1"/>
  <c r="AN26" i="2"/>
  <c r="AN8" i="2"/>
  <c r="AN21" i="2" s="1"/>
  <c r="AF16" i="2"/>
  <c r="AF24" i="2" s="1"/>
  <c r="AF17" i="2"/>
  <c r="AN12" i="2"/>
  <c r="AN13" i="2" s="1"/>
  <c r="AN22" i="2" s="1"/>
  <c r="AP6" i="2" l="1"/>
  <c r="AO8" i="2"/>
  <c r="AO21" i="2" s="1"/>
  <c r="AO26" i="2"/>
  <c r="AF23" i="2"/>
  <c r="AF28" i="2"/>
  <c r="AG14" i="2" s="1"/>
  <c r="AG15" i="2" s="1"/>
  <c r="AO12" i="2"/>
  <c r="AO13" i="2" s="1"/>
  <c r="AO22" i="2" s="1"/>
  <c r="AQ6" i="2" l="1"/>
  <c r="AP8" i="2"/>
  <c r="AP21" i="2" s="1"/>
  <c r="AP26" i="2"/>
  <c r="AG16" i="2"/>
  <c r="AG24" i="2" s="1"/>
  <c r="AP12" i="2"/>
  <c r="AP13" i="2" s="1"/>
  <c r="AP22" i="2" s="1"/>
  <c r="AG17" i="2" l="1"/>
  <c r="AG23" i="2" s="1"/>
  <c r="AR6" i="2"/>
  <c r="AQ8" i="2"/>
  <c r="AQ21" i="2" s="1"/>
  <c r="AQ26" i="2"/>
  <c r="AR12" i="2"/>
  <c r="AQ12" i="2"/>
  <c r="AQ13" i="2" s="1"/>
  <c r="AQ22" i="2" s="1"/>
  <c r="AG28" i="2" l="1"/>
  <c r="AH14" i="2" s="1"/>
  <c r="AH15" i="2" s="1"/>
  <c r="AH16" i="2" s="1"/>
  <c r="AH24" i="2" s="1"/>
  <c r="AR26" i="2"/>
  <c r="AR8" i="2"/>
  <c r="AR21" i="2" s="1"/>
  <c r="AH17" i="2" l="1"/>
  <c r="AR13" i="2"/>
  <c r="AR22" i="2" s="1"/>
  <c r="AH23" i="2"/>
  <c r="AH28" i="2"/>
  <c r="AI14" i="2" l="1"/>
  <c r="AI15" i="2" s="1"/>
  <c r="AI16" i="2" l="1"/>
  <c r="AI24" i="2" s="1"/>
  <c r="AI17" i="2" l="1"/>
  <c r="AI23" i="2" s="1"/>
  <c r="AI28" i="2" l="1"/>
  <c r="AJ14" i="2" s="1"/>
  <c r="AJ15" i="2" s="1"/>
  <c r="AJ16" i="2" l="1"/>
  <c r="AJ24" i="2" s="1"/>
  <c r="AJ17" i="2" l="1"/>
  <c r="AJ23" i="2" s="1"/>
  <c r="AJ28" i="2" l="1"/>
  <c r="AK14" i="2" s="1"/>
  <c r="AK15" i="2" s="1"/>
  <c r="AK16" i="2" l="1"/>
  <c r="AK24" i="2" s="1"/>
  <c r="AK17" i="2" l="1"/>
  <c r="AK23" i="2" l="1"/>
  <c r="AK28" i="2"/>
  <c r="AL14" i="2" l="1"/>
  <c r="AL15" i="2" s="1"/>
  <c r="AL16" i="2" l="1"/>
  <c r="AL24" i="2" s="1"/>
  <c r="AL17" i="2" l="1"/>
  <c r="AL23" i="2" s="1"/>
  <c r="AL28" i="2" l="1"/>
  <c r="AM14" i="2" s="1"/>
  <c r="AM15" i="2" s="1"/>
  <c r="AM16" i="2" l="1"/>
  <c r="AM24" i="2" s="1"/>
  <c r="AM17" i="2" l="1"/>
  <c r="AM23" i="2" s="1"/>
  <c r="AM28" i="2" l="1"/>
  <c r="AN14" i="2" s="1"/>
  <c r="AN15" i="2" s="1"/>
  <c r="AN16" i="2" l="1"/>
  <c r="AN24" i="2" s="1"/>
  <c r="AN17" i="2" l="1"/>
  <c r="AN23" i="2"/>
  <c r="AN28" i="2"/>
  <c r="AO14" i="2" l="1"/>
  <c r="AO15" i="2" s="1"/>
  <c r="AO16" i="2" l="1"/>
  <c r="AO24" i="2" s="1"/>
  <c r="AO17" i="2" l="1"/>
  <c r="AO23" i="2" s="1"/>
  <c r="AO28" i="2"/>
  <c r="AP14" i="2" l="1"/>
  <c r="AP15" i="2" s="1"/>
  <c r="AP16" i="2" l="1"/>
  <c r="AP24" i="2" s="1"/>
  <c r="AP17" i="2" l="1"/>
  <c r="AP23" i="2" l="1"/>
  <c r="AP28" i="2"/>
  <c r="AQ14" i="2" l="1"/>
  <c r="AQ15" i="2" s="1"/>
  <c r="AQ16" i="2" l="1"/>
  <c r="AQ24" i="2" s="1"/>
  <c r="AQ17" i="2" l="1"/>
  <c r="AQ23" i="2" l="1"/>
  <c r="AQ28" i="2"/>
  <c r="AR14" i="2" l="1"/>
  <c r="AR15" i="2" s="1"/>
  <c r="AR16" i="2" l="1"/>
  <c r="AR24" i="2" s="1"/>
  <c r="AR17" i="2" l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AU9" i="2" s="1"/>
  <c r="AU11" i="2" s="1"/>
  <c r="AU12" i="2" s="1"/>
  <c r="AU14" i="2" s="1"/>
  <c r="AR23" i="2" l="1"/>
  <c r="AR28" i="2"/>
</calcChain>
</file>

<file path=xl/sharedStrings.xml><?xml version="1.0" encoding="utf-8"?>
<sst xmlns="http://schemas.openxmlformats.org/spreadsheetml/2006/main" count="109" uniqueCount="92">
  <si>
    <t>Datadog</t>
  </si>
  <si>
    <t>(in millions)</t>
  </si>
  <si>
    <t>(DDOG)</t>
  </si>
  <si>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</si>
  <si>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</si>
  <si>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</si>
  <si>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</si>
  <si>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</si>
  <si>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</si>
  <si>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</si>
  <si>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</si>
  <si>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</si>
  <si>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</si>
  <si>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</si>
  <si>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</si>
  <si>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</si>
  <si>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</si>
  <si>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</si>
  <si>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</si>
  <si>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</si>
  <si>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</si>
  <si>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</si>
  <si>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</si>
  <si>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</si>
  <si>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</si>
  <si>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</si>
  <si>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</si>
  <si>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</si>
  <si>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</si>
  <si>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</si>
  <si>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</si>
  <si>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</si>
  <si>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</si>
  <si>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</si>
  <si>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</si>
  <si>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</si>
  <si>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</si>
  <si>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</si>
  <si>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</si>
  <si>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</si>
  <si>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</si>
  <si>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G&amp;A</t>
  </si>
  <si>
    <t>S&amp;M</t>
  </si>
  <si>
    <t>Net cash</t>
  </si>
  <si>
    <t>A/R</t>
  </si>
  <si>
    <t>Deferred contract cost</t>
  </si>
  <si>
    <t>Prepaid</t>
  </si>
  <si>
    <t>PP&amp;E</t>
  </si>
  <si>
    <t>Lease</t>
  </si>
  <si>
    <t>Goodwill</t>
  </si>
  <si>
    <t>Other</t>
  </si>
  <si>
    <t>Assets</t>
  </si>
  <si>
    <t>A/P</t>
  </si>
  <si>
    <t>Accrued expense</t>
  </si>
  <si>
    <t>D/R</t>
  </si>
  <si>
    <t>Liabilties</t>
  </si>
  <si>
    <t>S/E</t>
  </si>
  <si>
    <t>L+S/E</t>
  </si>
  <si>
    <t>Tangible return</t>
  </si>
  <si>
    <t>TTM NI</t>
  </si>
  <si>
    <t>Model NI</t>
  </si>
  <si>
    <t>Reported NI</t>
  </si>
  <si>
    <t>D&amp;A</t>
  </si>
  <si>
    <t>Loss on disposal</t>
  </si>
  <si>
    <t>Allowance credit losses</t>
  </si>
  <si>
    <t>SBC</t>
  </si>
  <si>
    <t>Amor deferred cost</t>
  </si>
  <si>
    <t>Amor issuance cost</t>
  </si>
  <si>
    <t>Amor premiums on securities</t>
  </si>
  <si>
    <t>CFFO</t>
  </si>
  <si>
    <t>Securities</t>
  </si>
  <si>
    <t>Sale of securities</t>
  </si>
  <si>
    <t>CapEx</t>
  </si>
  <si>
    <t>Cap software development cost</t>
  </si>
  <si>
    <t>Acquisition</t>
  </si>
  <si>
    <t>CFFI</t>
  </si>
  <si>
    <t>Options</t>
  </si>
  <si>
    <t>CFFF</t>
  </si>
  <si>
    <t>FX</t>
  </si>
  <si>
    <t>CIC</t>
  </si>
  <si>
    <t>Capped call settlement</t>
  </si>
  <si>
    <t>ESOP</t>
  </si>
  <si>
    <t>FCF</t>
  </si>
  <si>
    <t>ARR ($100,000)</t>
  </si>
  <si>
    <t>ARR ($1 million)</t>
  </si>
  <si>
    <t>ROIC</t>
  </si>
  <si>
    <t>Terminal</t>
  </si>
  <si>
    <t>Discount</t>
  </si>
  <si>
    <t>NPV</t>
  </si>
  <si>
    <t>Value</t>
  </si>
  <si>
    <t>Current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</si>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</sst>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0\x"/>
  </numFmts>
  <fonts count="4" x14ac:knownFonts="1">
    <font>
      <sz val="11"/>
      <color theme="1"/>
      <name val="Consola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9" fontId="3" fillId="0" borderId="0" xfId="0" applyNumberFormat="1" applyFont="1"/>
    <xf numFmtId="3" fontId="1" fillId="0" borderId="0" xfId="0" applyNumberFormat="1" applyFont="1"/>
    <xf numFmtId="0" fontId="3" fillId="0" borderId="0" xfId="0" applyFon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0</xdr:rowOff>
    </xdr:from>
    <xdr:to>
      <xdr:col>17</xdr:col>
      <xdr:colOff>28575</xdr:colOff>
      <xdr:row>95</xdr:row>
      <xdr:rowOff>19050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BFF9C9-69A1-2EA1-9E41-DE139B5E6E21}"/>
            </a:ext>
          </a:extLst>
        </xdr:cNvPr>
        <xdr:cNvCxnSpPr/>
      </xdr:nvCxnSpPr>
      <xdr:spPr>
        <a:xfrm>
          <a:off x="12934950" y="0"/>
          <a:ext cx="0" cy="15401925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0</xdr:rowOff>
    </xdr:from>
    <xdr:to>
      <xdr:col>29</xdr:col>
      <xdr:colOff>9525</xdr:colOff>
      <xdr:row>92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CF5630C-59A4-472E-9C1E-577A7A5DB2AF}"/>
            </a:ext>
          </a:extLst>
        </xdr:cNvPr>
        <xdr:cNvCxnSpPr/>
      </xdr:nvCxnSpPr>
      <xdr:spPr>
        <a:xfrm>
          <a:off x="21145500" y="0"/>
          <a:ext cx="0" cy="150114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F5D1-7571-4EA3-A2A1-F6105FE1473E}">
  <dimension ref="A1:L10"/>
  <sheetViews>
    <sheetView workbookViewId="0">
      <selection activeCell="L4" sqref="L4"/>
    </sheetView>
  </sheetViews>
  <sheetFormatPr defaultRowHeight="12.75" x14ac:dyDescent="0.2"/>
  <cols>
    <col min="1" max="16384" width="9" style="1"/>
  </cols>
  <sheetData>
    <row r="1" spans="1:12" x14ac:dyDescent="0.2">
      <c r="A1" s="1" t="s">
        <v>0</v>
      </c>
    </row>
    <row r="2" spans="1:12" x14ac:dyDescent="0.2">
      <c r="A2" s="1" t="s">
        <v>2</v>
      </c>
    </row>
    <row r="3" spans="1:12" x14ac:dyDescent="0.2">
      <c r="K3" s="1" t="s">
        <v>36</v>
      </c>
      <c r="L3" s="2">
        <v>103</v>
      </c>
    </row>
    <row r="4" spans="1:12" x14ac:dyDescent="0.2">
      <c r="K4" s="1" t="s">
        <v>14</v>
      </c>
      <c r="L4" s="2">
        <f>+Model!Q19</f>
        <v>260.94</v>
      </c>
    </row>
    <row r="5" spans="1:12" x14ac:dyDescent="0.2">
      <c r="K5" s="1" t="s">
        <v>37</v>
      </c>
      <c r="L5" s="2">
        <f>+L3*L4</f>
        <v>26876.82</v>
      </c>
    </row>
    <row r="6" spans="1:12" x14ac:dyDescent="0.2">
      <c r="K6" s="1" t="s">
        <v>38</v>
      </c>
      <c r="L6" s="2">
        <f>+Model!Q29</f>
        <v>4189.0590000000002</v>
      </c>
    </row>
    <row r="7" spans="1:12" x14ac:dyDescent="0.2">
      <c r="K7" s="1" t="s">
        <v>39</v>
      </c>
      <c r="L7" s="2">
        <f>+Model!Q41</f>
        <v>1613.3050000000001</v>
      </c>
    </row>
    <row r="8" spans="1:12" x14ac:dyDescent="0.2">
      <c r="K8" s="1" t="s">
        <v>40</v>
      </c>
      <c r="L8" s="2">
        <f>+L5-L6+L7</f>
        <v>24301.065999999999</v>
      </c>
    </row>
    <row r="9" spans="1:12" x14ac:dyDescent="0.2">
      <c r="L9" s="2">
        <f>1000*(1.2^10)</f>
        <v>6191.7364223999994</v>
      </c>
    </row>
    <row r="10" spans="1:12" x14ac:dyDescent="0.2">
      <c r="L10" s="8">
        <f>+L8/L9</f>
        <v>3.9247578291746117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B0B3-036D-4F1C-94B1-F39BCB043C0C}">
  <dimension ref="A1:EO87"/>
  <sheetViews>
    <sheetView tabSelected="1" workbookViewId="0">
      <pane xSplit="1" ySplit="2" topLeftCell="Y3" activePane="bottomRight" state="frozen"/>
      <selection pane="topRight" activeCell="B1" sqref="B1"/>
      <selection pane="bottomLeft" activeCell="A4" sqref="A4"/>
      <selection pane="bottomRight" activeCell="AN39" sqref="AN39"/>
    </sheetView>
  </sheetViews>
  <sheetFormatPr defaultRowHeight="12.75" x14ac:dyDescent="0.2"/>
  <cols>
    <col min="1" max="1" width="25.375" style="2" bestFit="1" customWidth="1"/>
    <col min="2" max="27" width="9" style="2"/>
    <col min="28" max="28" width="9" style="2" customWidth="1"/>
    <col min="29" max="16384" width="9" style="2"/>
  </cols>
  <sheetData>
    <row r="1" spans="1:47" s="3" customFormat="1" x14ac:dyDescent="0.2">
      <c r="A1" s="3" t="s">
        <v>2</v>
      </c>
      <c r="J1" s="3">
        <v>45382</v>
      </c>
      <c r="K1" s="3">
        <v>45473</v>
      </c>
      <c r="L1" s="3">
        <v>45199</v>
      </c>
      <c r="M1" s="3">
        <v>45291</v>
      </c>
      <c r="N1" s="3">
        <v>45382</v>
      </c>
      <c r="O1" s="3">
        <v>45473</v>
      </c>
      <c r="P1" s="3">
        <v>45565</v>
      </c>
      <c r="Q1" s="3">
        <v>45657</v>
      </c>
    </row>
    <row r="2" spans="1:47" x14ac:dyDescent="0.2">
      <c r="A2" s="1" t="s">
        <v>1</v>
      </c>
      <c r="B2" s="4" t="s">
        <v>20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21</v>
      </c>
      <c r="H2" s="4" t="s">
        <v>22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S2" s="1">
        <v>2014</v>
      </c>
      <c r="T2" s="1">
        <f t="shared" ref="T2:AM2" si="0">+S2+1</f>
        <v>2015</v>
      </c>
      <c r="U2" s="1">
        <f t="shared" si="0"/>
        <v>2016</v>
      </c>
      <c r="V2" s="1">
        <f t="shared" si="0"/>
        <v>2017</v>
      </c>
      <c r="W2" s="1">
        <f t="shared" si="0"/>
        <v>2018</v>
      </c>
      <c r="X2" s="1">
        <f t="shared" si="0"/>
        <v>2019</v>
      </c>
      <c r="Y2" s="1">
        <f t="shared" si="0"/>
        <v>2020</v>
      </c>
      <c r="Z2" s="1">
        <f t="shared" si="0"/>
        <v>2021</v>
      </c>
      <c r="AA2" s="1">
        <f t="shared" si="0"/>
        <v>2022</v>
      </c>
      <c r="AB2" s="1">
        <f t="shared" si="0"/>
        <v>2023</v>
      </c>
      <c r="AC2" s="1">
        <f t="shared" si="0"/>
        <v>2024</v>
      </c>
      <c r="AD2" s="1">
        <f t="shared" si="0"/>
        <v>2025</v>
      </c>
      <c r="AE2" s="1">
        <f t="shared" si="0"/>
        <v>2026</v>
      </c>
      <c r="AF2" s="1">
        <f t="shared" si="0"/>
        <v>2027</v>
      </c>
      <c r="AG2" s="1">
        <f t="shared" si="0"/>
        <v>2028</v>
      </c>
      <c r="AH2" s="1">
        <f t="shared" si="0"/>
        <v>2029</v>
      </c>
      <c r="AI2" s="1">
        <f t="shared" si="0"/>
        <v>2030</v>
      </c>
      <c r="AJ2" s="1">
        <f t="shared" si="0"/>
        <v>2031</v>
      </c>
      <c r="AK2" s="1">
        <f t="shared" si="0"/>
        <v>2032</v>
      </c>
      <c r="AL2" s="1">
        <f t="shared" si="0"/>
        <v>2033</v>
      </c>
      <c r="AM2" s="1">
        <f t="shared" si="0"/>
        <v>2034</v>
      </c>
      <c r="AN2" s="1">
        <f t="shared" ref="AN2" si="1">+AM2+1</f>
        <v>2035</v>
      </c>
      <c r="AO2" s="1">
        <f t="shared" ref="AO2" si="2">+AN2+1</f>
        <v>2036</v>
      </c>
      <c r="AP2" s="1">
        <f t="shared" ref="AP2" si="3">+AO2+1</f>
        <v>2037</v>
      </c>
      <c r="AQ2" s="1">
        <f t="shared" ref="AQ2" si="4">+AP2+1</f>
        <v>2038</v>
      </c>
      <c r="AR2" s="1">
        <f t="shared" ref="AR2" si="5">+AQ2+1</f>
        <v>2039</v>
      </c>
    </row>
    <row r="3" spans="1:47" x14ac:dyDescent="0.2">
      <c r="A3" s="12" t="s">
        <v>83</v>
      </c>
      <c r="B3" s="4"/>
      <c r="C3" s="4"/>
      <c r="D3" s="4"/>
      <c r="E3" s="4"/>
      <c r="F3" s="4"/>
      <c r="G3" s="4"/>
      <c r="H3" s="4"/>
      <c r="I3" s="4"/>
      <c r="J3" s="4">
        <v>2910</v>
      </c>
      <c r="K3" s="4">
        <v>2990</v>
      </c>
      <c r="L3" s="4">
        <v>3130</v>
      </c>
      <c r="M3" s="4">
        <v>3190</v>
      </c>
      <c r="N3" s="4">
        <v>3340</v>
      </c>
      <c r="O3" s="4">
        <v>3390</v>
      </c>
      <c r="P3" s="4">
        <v>3490</v>
      </c>
      <c r="Q3" s="4">
        <v>3610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47" x14ac:dyDescent="0.2">
      <c r="A4" s="12" t="s">
        <v>84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>
        <v>396</v>
      </c>
      <c r="N4" s="4"/>
      <c r="O4" s="4"/>
      <c r="P4" s="4"/>
      <c r="Q4" s="4">
        <v>462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47" x14ac:dyDescent="0.2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47" s="5" customFormat="1" x14ac:dyDescent="0.2">
      <c r="A6" s="11" t="s">
        <v>3</v>
      </c>
      <c r="H6" s="5">
        <v>436.53300000000002</v>
      </c>
      <c r="I6" s="5">
        <v>469.399</v>
      </c>
      <c r="J6" s="5">
        <v>481.714</v>
      </c>
      <c r="K6" s="5">
        <v>509.46</v>
      </c>
      <c r="L6" s="5">
        <v>547.53599999999994</v>
      </c>
      <c r="M6" s="5">
        <v>589.649</v>
      </c>
      <c r="N6" s="5">
        <v>611.25300000000004</v>
      </c>
      <c r="O6" s="5">
        <v>645.279</v>
      </c>
      <c r="P6" s="5">
        <v>690.01599999999996</v>
      </c>
      <c r="Q6" s="5">
        <v>737.72699999999998</v>
      </c>
      <c r="W6" s="5">
        <v>198.077</v>
      </c>
      <c r="X6" s="5">
        <v>362.78</v>
      </c>
      <c r="Y6" s="5">
        <v>603.46600000000001</v>
      </c>
      <c r="Z6" s="5">
        <v>1028.7840000000001</v>
      </c>
      <c r="AA6" s="5">
        <v>1675.1</v>
      </c>
      <c r="AB6" s="5">
        <v>2128.3589999999999</v>
      </c>
      <c r="AC6" s="5">
        <f>+SUM(N6:Q6)</f>
        <v>2684.2750000000001</v>
      </c>
      <c r="AD6" s="5">
        <f>+AC6*1.25</f>
        <v>3355.34375</v>
      </c>
      <c r="AE6" s="5">
        <f t="shared" ref="AE6:AR6" si="6">+AD6*1.25</f>
        <v>4194.1796875</v>
      </c>
      <c r="AF6" s="5">
        <f t="shared" si="6"/>
        <v>5242.724609375</v>
      </c>
      <c r="AG6" s="5">
        <f t="shared" si="6"/>
        <v>6553.40576171875</v>
      </c>
      <c r="AH6" s="5">
        <f t="shared" si="6"/>
        <v>8191.7572021484375</v>
      </c>
      <c r="AI6" s="5">
        <f t="shared" si="6"/>
        <v>10239.696502685547</v>
      </c>
      <c r="AJ6" s="5">
        <f t="shared" si="6"/>
        <v>12799.620628356934</v>
      </c>
      <c r="AK6" s="5">
        <f t="shared" si="6"/>
        <v>15999.525785446167</v>
      </c>
      <c r="AL6" s="5">
        <f t="shared" si="6"/>
        <v>19999.407231807709</v>
      </c>
      <c r="AM6" s="5">
        <f t="shared" si="6"/>
        <v>24999.259039759636</v>
      </c>
      <c r="AN6" s="5">
        <f t="shared" si="6"/>
        <v>31249.073799699545</v>
      </c>
      <c r="AO6" s="5">
        <f t="shared" si="6"/>
        <v>39061.342249624431</v>
      </c>
      <c r="AP6" s="5">
        <f t="shared" si="6"/>
        <v>48826.677812030539</v>
      </c>
      <c r="AQ6" s="5">
        <f t="shared" si="6"/>
        <v>61033.347265038174</v>
      </c>
      <c r="AR6" s="5">
        <f t="shared" si="6"/>
        <v>76291.684081297717</v>
      </c>
      <c r="AT6" s="10" t="s">
        <v>85</v>
      </c>
      <c r="AU6" s="13">
        <v>0.06</v>
      </c>
    </row>
    <row r="7" spans="1:47" x14ac:dyDescent="0.2">
      <c r="A7" s="2" t="s">
        <v>4</v>
      </c>
      <c r="H7" s="2">
        <v>93.599000000000004</v>
      </c>
      <c r="I7" s="2">
        <v>96.757000000000005</v>
      </c>
      <c r="J7" s="2">
        <v>99.914000000000001</v>
      </c>
      <c r="K7" s="2">
        <v>101.846</v>
      </c>
      <c r="L7" s="2">
        <v>103.319</v>
      </c>
      <c r="M7" s="2">
        <v>104.82899999999999</v>
      </c>
      <c r="N7" s="2">
        <v>110.098</v>
      </c>
      <c r="O7" s="2">
        <v>123.499</v>
      </c>
      <c r="P7" s="2">
        <v>137.756</v>
      </c>
      <c r="Q7" s="2">
        <v>144.178</v>
      </c>
      <c r="W7" s="10">
        <v>46.529000000000003</v>
      </c>
      <c r="X7" s="10">
        <v>88.948999999999998</v>
      </c>
      <c r="Y7" s="10">
        <v>130.197</v>
      </c>
      <c r="Z7" s="10">
        <v>234.245</v>
      </c>
      <c r="AA7" s="10">
        <v>346.74299999999999</v>
      </c>
      <c r="AB7" s="10">
        <v>409.90800000000002</v>
      </c>
      <c r="AC7" s="10">
        <f>+SUM(N7:Q7)</f>
        <v>515.53099999999995</v>
      </c>
      <c r="AD7" s="2">
        <f>+AC7*1.2</f>
        <v>618.63719999999989</v>
      </c>
      <c r="AE7" s="2">
        <f t="shared" ref="AE7:AR7" si="7">+AD7*1.2</f>
        <v>742.36463999999989</v>
      </c>
      <c r="AF7" s="2">
        <f t="shared" si="7"/>
        <v>890.83756799999981</v>
      </c>
      <c r="AG7" s="2">
        <f t="shared" si="7"/>
        <v>1069.0050815999998</v>
      </c>
      <c r="AH7" s="2">
        <f t="shared" si="7"/>
        <v>1282.8060979199997</v>
      </c>
      <c r="AI7" s="2">
        <f t="shared" si="7"/>
        <v>1539.3673175039996</v>
      </c>
      <c r="AJ7" s="2">
        <f t="shared" si="7"/>
        <v>1847.2407810047994</v>
      </c>
      <c r="AK7" s="2">
        <f t="shared" si="7"/>
        <v>2216.688937205759</v>
      </c>
      <c r="AL7" s="2">
        <f t="shared" si="7"/>
        <v>2660.0267246469107</v>
      </c>
      <c r="AM7" s="2">
        <f t="shared" si="7"/>
        <v>3192.0320695762925</v>
      </c>
      <c r="AN7" s="2">
        <f t="shared" si="7"/>
        <v>3830.4384834915509</v>
      </c>
      <c r="AO7" s="2">
        <f t="shared" si="7"/>
        <v>4596.5261801898605</v>
      </c>
      <c r="AP7" s="2">
        <f t="shared" si="7"/>
        <v>5515.8314162278321</v>
      </c>
      <c r="AQ7" s="2">
        <f t="shared" si="7"/>
        <v>6618.9976994733979</v>
      </c>
      <c r="AR7" s="2">
        <f t="shared" si="7"/>
        <v>7942.7972393680775</v>
      </c>
      <c r="AT7" s="10" t="s">
        <v>86</v>
      </c>
      <c r="AU7" s="7">
        <v>-0.02</v>
      </c>
    </row>
    <row r="8" spans="1:47" s="10" customFormat="1" x14ac:dyDescent="0.2">
      <c r="A8" s="10" t="s">
        <v>5</v>
      </c>
      <c r="H8" s="10">
        <f t="shared" ref="H8:O8" si="8">+H6-H7</f>
        <v>342.93400000000003</v>
      </c>
      <c r="I8" s="10">
        <f t="shared" si="8"/>
        <v>372.642</v>
      </c>
      <c r="J8" s="10">
        <f t="shared" si="8"/>
        <v>381.8</v>
      </c>
      <c r="K8" s="10">
        <f t="shared" si="8"/>
        <v>407.61399999999998</v>
      </c>
      <c r="L8" s="10">
        <f t="shared" si="8"/>
        <v>444.21699999999993</v>
      </c>
      <c r="M8" s="10">
        <f t="shared" si="8"/>
        <v>484.82</v>
      </c>
      <c r="N8" s="10">
        <f t="shared" si="8"/>
        <v>501.15500000000003</v>
      </c>
      <c r="O8" s="10">
        <f t="shared" si="8"/>
        <v>521.78</v>
      </c>
      <c r="P8" s="10">
        <f t="shared" ref="P8:Q8" si="9">+P6-P7</f>
        <v>552.26</v>
      </c>
      <c r="Q8" s="10">
        <f t="shared" si="9"/>
        <v>593.54899999999998</v>
      </c>
      <c r="W8" s="10">
        <f t="shared" ref="W8" si="10">+W6-W7</f>
        <v>151.548</v>
      </c>
      <c r="X8" s="10">
        <f t="shared" ref="X8:Y8" si="11">+X6-X7</f>
        <v>273.83099999999996</v>
      </c>
      <c r="Y8" s="10">
        <f t="shared" si="11"/>
        <v>473.26900000000001</v>
      </c>
      <c r="Z8" s="10">
        <f t="shared" ref="Z8:AA8" si="12">+Z6-Z7</f>
        <v>794.5390000000001</v>
      </c>
      <c r="AA8" s="10">
        <f t="shared" si="12"/>
        <v>1328.357</v>
      </c>
      <c r="AB8" s="10">
        <f t="shared" ref="AB8:AR8" si="13">+AB6-AB7</f>
        <v>1718.451</v>
      </c>
      <c r="AC8" s="10">
        <f t="shared" si="13"/>
        <v>2168.7440000000001</v>
      </c>
      <c r="AD8" s="10">
        <f t="shared" si="13"/>
        <v>2736.7065499999999</v>
      </c>
      <c r="AE8" s="10">
        <f t="shared" si="13"/>
        <v>3451.8150475000002</v>
      </c>
      <c r="AF8" s="10">
        <f t="shared" si="13"/>
        <v>4351.8870413750001</v>
      </c>
      <c r="AG8" s="10">
        <f t="shared" si="13"/>
        <v>5484.4006801187497</v>
      </c>
      <c r="AH8" s="10">
        <f t="shared" si="13"/>
        <v>6908.9511042284375</v>
      </c>
      <c r="AI8" s="10">
        <f t="shared" si="13"/>
        <v>8700.3291851815466</v>
      </c>
      <c r="AJ8" s="10">
        <f t="shared" si="13"/>
        <v>10952.379847352135</v>
      </c>
      <c r="AK8" s="10">
        <f t="shared" si="13"/>
        <v>13782.836848240408</v>
      </c>
      <c r="AL8" s="10">
        <f t="shared" si="13"/>
        <v>17339.380507160797</v>
      </c>
      <c r="AM8" s="10">
        <f t="shared" si="13"/>
        <v>21807.226970183343</v>
      </c>
      <c r="AN8" s="10">
        <f t="shared" si="13"/>
        <v>27418.635316207994</v>
      </c>
      <c r="AO8" s="10">
        <f t="shared" si="13"/>
        <v>34464.816069434572</v>
      </c>
      <c r="AP8" s="10">
        <f t="shared" si="13"/>
        <v>43310.846395802706</v>
      </c>
      <c r="AQ8" s="10">
        <f t="shared" si="13"/>
        <v>54414.349565564778</v>
      </c>
      <c r="AR8" s="10">
        <f t="shared" si="13"/>
        <v>68348.886841929634</v>
      </c>
      <c r="AT8" s="10" t="s">
        <v>87</v>
      </c>
      <c r="AU8" s="13">
        <v>0.15</v>
      </c>
    </row>
    <row r="9" spans="1:47" x14ac:dyDescent="0.2">
      <c r="A9" s="2" t="s">
        <v>6</v>
      </c>
      <c r="H9" s="2">
        <v>205.38800000000001</v>
      </c>
      <c r="I9" s="2">
        <v>218.65600000000001</v>
      </c>
      <c r="J9" s="2">
        <v>229.47800000000001</v>
      </c>
      <c r="K9" s="2">
        <v>239.494</v>
      </c>
      <c r="L9" s="2">
        <v>240.22499999999999</v>
      </c>
      <c r="M9" s="2">
        <v>253.25</v>
      </c>
      <c r="N9" s="2">
        <v>269.988</v>
      </c>
      <c r="O9" s="2">
        <v>274.59899999999999</v>
      </c>
      <c r="P9" s="2">
        <v>291.80200000000002</v>
      </c>
      <c r="Q9" s="2">
        <v>316.31400000000002</v>
      </c>
      <c r="W9" s="10">
        <v>55.176000000000002</v>
      </c>
      <c r="X9" s="10">
        <v>111.425</v>
      </c>
      <c r="Y9" s="10">
        <v>210.626</v>
      </c>
      <c r="Z9" s="10">
        <v>419.76900000000001</v>
      </c>
      <c r="AA9" s="10">
        <v>752.351</v>
      </c>
      <c r="AB9" s="10">
        <v>962.447</v>
      </c>
      <c r="AC9" s="10">
        <f t="shared" ref="AC9:AC11" si="14">+SUM(N9:Q9)</f>
        <v>1152.703</v>
      </c>
      <c r="AD9" s="2">
        <f>+AC9*1.25</f>
        <v>1440.8787499999999</v>
      </c>
      <c r="AE9" s="2">
        <f t="shared" ref="AE9:AR9" si="15">+AD9*1.25</f>
        <v>1801.0984374999998</v>
      </c>
      <c r="AF9" s="2">
        <f t="shared" si="15"/>
        <v>2251.373046875</v>
      </c>
      <c r="AG9" s="2">
        <f t="shared" si="15"/>
        <v>2814.21630859375</v>
      </c>
      <c r="AH9" s="2">
        <f t="shared" si="15"/>
        <v>3517.7703857421875</v>
      </c>
      <c r="AI9" s="2">
        <f t="shared" si="15"/>
        <v>4397.2129821777344</v>
      </c>
      <c r="AJ9" s="2">
        <f t="shared" si="15"/>
        <v>5496.516227722168</v>
      </c>
      <c r="AK9" s="2">
        <f t="shared" si="15"/>
        <v>6870.64528465271</v>
      </c>
      <c r="AL9" s="2">
        <f t="shared" si="15"/>
        <v>8588.3066058158875</v>
      </c>
      <c r="AM9" s="2">
        <f t="shared" si="15"/>
        <v>10735.383257269859</v>
      </c>
      <c r="AN9" s="2">
        <f t="shared" si="15"/>
        <v>13419.229071587324</v>
      </c>
      <c r="AO9" s="2">
        <f t="shared" si="15"/>
        <v>16774.036339484155</v>
      </c>
      <c r="AP9" s="2">
        <f t="shared" si="15"/>
        <v>20967.545424355194</v>
      </c>
      <c r="AQ9" s="2">
        <f t="shared" si="15"/>
        <v>26209.431780443992</v>
      </c>
      <c r="AR9" s="2">
        <f t="shared" si="15"/>
        <v>32761.789725554991</v>
      </c>
      <c r="AT9" s="10" t="s">
        <v>88</v>
      </c>
      <c r="AU9" s="2">
        <f>+NPV(AU8,AD17:EO17)</f>
        <v>30292.116896756415</v>
      </c>
    </row>
    <row r="10" spans="1:47" x14ac:dyDescent="0.2">
      <c r="A10" s="2" t="s">
        <v>42</v>
      </c>
      <c r="H10" s="2">
        <v>129.49299999999999</v>
      </c>
      <c r="I10" s="2">
        <v>149.35900000000001</v>
      </c>
      <c r="J10" s="2">
        <v>144.971</v>
      </c>
      <c r="K10" s="2">
        <v>147.45500000000001</v>
      </c>
      <c r="L10" s="2">
        <v>156.87</v>
      </c>
      <c r="M10" s="2">
        <v>159.97999999999999</v>
      </c>
      <c r="N10" s="2">
        <v>173.881</v>
      </c>
      <c r="O10" s="2">
        <v>187.005</v>
      </c>
      <c r="P10" s="2">
        <v>187.77199999999999</v>
      </c>
      <c r="Q10" s="2">
        <v>207.947</v>
      </c>
      <c r="W10" s="10">
        <v>88.849000000000004</v>
      </c>
      <c r="X10" s="10">
        <v>146.65700000000001</v>
      </c>
      <c r="Y10" s="10">
        <v>213.66</v>
      </c>
      <c r="Z10" s="10">
        <v>299.49700000000001</v>
      </c>
      <c r="AA10" s="10">
        <v>495.28800000000001</v>
      </c>
      <c r="AB10" s="10">
        <v>609.27599999999995</v>
      </c>
      <c r="AC10" s="10">
        <f t="shared" si="14"/>
        <v>756.6049999999999</v>
      </c>
      <c r="AD10" s="2">
        <f>+AC10*1.2</f>
        <v>907.92599999999982</v>
      </c>
      <c r="AE10" s="2">
        <f t="shared" ref="AE10:AR10" si="16">+AD10*1.2</f>
        <v>1089.5111999999997</v>
      </c>
      <c r="AF10" s="2">
        <f t="shared" si="16"/>
        <v>1307.4134399999996</v>
      </c>
      <c r="AG10" s="2">
        <f t="shared" si="16"/>
        <v>1568.8961279999994</v>
      </c>
      <c r="AH10" s="2">
        <f t="shared" si="16"/>
        <v>1882.6753535999992</v>
      </c>
      <c r="AI10" s="2">
        <f t="shared" si="16"/>
        <v>2259.2104243199988</v>
      </c>
      <c r="AJ10" s="2">
        <f t="shared" si="16"/>
        <v>2711.0525091839986</v>
      </c>
      <c r="AK10" s="2">
        <f t="shared" si="16"/>
        <v>3253.2630110207983</v>
      </c>
      <c r="AL10" s="2">
        <f t="shared" si="16"/>
        <v>3903.9156132249577</v>
      </c>
      <c r="AM10" s="2">
        <f t="shared" si="16"/>
        <v>4684.6987358699489</v>
      </c>
      <c r="AN10" s="2">
        <f t="shared" si="16"/>
        <v>5621.6384830439383</v>
      </c>
      <c r="AO10" s="2">
        <f t="shared" si="16"/>
        <v>6745.9661796527262</v>
      </c>
      <c r="AP10" s="2">
        <f t="shared" si="16"/>
        <v>8095.1594155832709</v>
      </c>
      <c r="AQ10" s="2">
        <f t="shared" si="16"/>
        <v>9714.191298699925</v>
      </c>
      <c r="AR10" s="2">
        <f t="shared" si="16"/>
        <v>11657.02955843991</v>
      </c>
      <c r="AT10" s="10" t="s">
        <v>43</v>
      </c>
      <c r="AU10" s="2">
        <f>+Q28</f>
        <v>2575.7539999999999</v>
      </c>
    </row>
    <row r="11" spans="1:47" x14ac:dyDescent="0.2">
      <c r="A11" s="2" t="s">
        <v>41</v>
      </c>
      <c r="H11" s="2">
        <v>39.395000000000003</v>
      </c>
      <c r="I11" s="2">
        <v>39.255000000000003</v>
      </c>
      <c r="J11" s="2">
        <v>42.320999999999998</v>
      </c>
      <c r="K11" s="2">
        <v>42.670999999999999</v>
      </c>
      <c r="L11" s="2">
        <v>51.351999999999997</v>
      </c>
      <c r="M11" s="2">
        <v>43.847999999999999</v>
      </c>
      <c r="N11" s="2">
        <v>45.29</v>
      </c>
      <c r="O11" s="2">
        <v>47.558</v>
      </c>
      <c r="P11" s="2">
        <v>52.408000000000001</v>
      </c>
      <c r="Q11" s="2">
        <v>59.896000000000001</v>
      </c>
      <c r="W11" s="10">
        <v>18.556000000000001</v>
      </c>
      <c r="X11" s="10">
        <v>35.889000000000003</v>
      </c>
      <c r="Y11" s="10">
        <v>62.756</v>
      </c>
      <c r="Z11" s="10">
        <v>94.429000000000002</v>
      </c>
      <c r="AA11" s="10">
        <v>139.41300000000001</v>
      </c>
      <c r="AB11" s="10">
        <v>180.19200000000001</v>
      </c>
      <c r="AC11" s="10">
        <f t="shared" si="14"/>
        <v>205.15199999999999</v>
      </c>
      <c r="AD11" s="2">
        <f>+AC11*1.18</f>
        <v>242.07935999999998</v>
      </c>
      <c r="AE11" s="2">
        <f t="shared" ref="AE11:AR11" si="17">+AD11*1.18</f>
        <v>285.65364479999994</v>
      </c>
      <c r="AF11" s="2">
        <f t="shared" si="17"/>
        <v>337.07130086399991</v>
      </c>
      <c r="AG11" s="2">
        <f t="shared" si="17"/>
        <v>397.74413501951989</v>
      </c>
      <c r="AH11" s="2">
        <f t="shared" si="17"/>
        <v>469.33807932303347</v>
      </c>
      <c r="AI11" s="2">
        <f t="shared" si="17"/>
        <v>553.81893360117942</v>
      </c>
      <c r="AJ11" s="2">
        <f t="shared" si="17"/>
        <v>653.50634164939163</v>
      </c>
      <c r="AK11" s="2">
        <f t="shared" si="17"/>
        <v>771.13748314628208</v>
      </c>
      <c r="AL11" s="2">
        <f t="shared" si="17"/>
        <v>909.94223011261283</v>
      </c>
      <c r="AM11" s="2">
        <f t="shared" si="17"/>
        <v>1073.731831532883</v>
      </c>
      <c r="AN11" s="2">
        <f t="shared" si="17"/>
        <v>1267.0035612088018</v>
      </c>
      <c r="AO11" s="2">
        <f t="shared" si="17"/>
        <v>1495.064202226386</v>
      </c>
      <c r="AP11" s="2">
        <f t="shared" si="17"/>
        <v>1764.1757586271353</v>
      </c>
      <c r="AQ11" s="2">
        <f t="shared" si="17"/>
        <v>2081.7273951800198</v>
      </c>
      <c r="AR11" s="2">
        <f t="shared" si="17"/>
        <v>2456.4383263124232</v>
      </c>
      <c r="AT11" s="10" t="s">
        <v>89</v>
      </c>
      <c r="AU11" s="2">
        <f>+AU9+AU10</f>
        <v>32867.870896756416</v>
      </c>
    </row>
    <row r="12" spans="1:47" x14ac:dyDescent="0.2">
      <c r="A12" s="2" t="s">
        <v>7</v>
      </c>
      <c r="H12" s="2">
        <f t="shared" ref="H12:O12" si="18">+SUM(H9:H11)</f>
        <v>374.27599999999995</v>
      </c>
      <c r="I12" s="2">
        <f t="shared" si="18"/>
        <v>407.27</v>
      </c>
      <c r="J12" s="2">
        <f t="shared" si="18"/>
        <v>416.77</v>
      </c>
      <c r="K12" s="2">
        <f t="shared" si="18"/>
        <v>429.62</v>
      </c>
      <c r="L12" s="2">
        <f t="shared" si="18"/>
        <v>448.447</v>
      </c>
      <c r="M12" s="2">
        <f t="shared" si="18"/>
        <v>457.07800000000003</v>
      </c>
      <c r="N12" s="2">
        <f t="shared" si="18"/>
        <v>489.15900000000005</v>
      </c>
      <c r="O12" s="2">
        <f t="shared" si="18"/>
        <v>509.16199999999998</v>
      </c>
      <c r="P12" s="2">
        <f t="shared" ref="P12:Q12" si="19">+SUM(P9:P11)</f>
        <v>531.98199999999997</v>
      </c>
      <c r="Q12" s="2">
        <f t="shared" si="19"/>
        <v>584.15699999999993</v>
      </c>
      <c r="W12" s="2">
        <f t="shared" ref="W12:AC12" si="20">+SUM(W9:W11)</f>
        <v>162.58100000000002</v>
      </c>
      <c r="X12" s="2">
        <f t="shared" si="20"/>
        <v>293.971</v>
      </c>
      <c r="Y12" s="2">
        <f t="shared" si="20"/>
        <v>487.04200000000003</v>
      </c>
      <c r="Z12" s="2">
        <f t="shared" si="20"/>
        <v>813.69500000000005</v>
      </c>
      <c r="AA12" s="2">
        <f t="shared" si="20"/>
        <v>1387.0520000000001</v>
      </c>
      <c r="AB12" s="2">
        <f t="shared" si="20"/>
        <v>1751.915</v>
      </c>
      <c r="AC12" s="2">
        <f t="shared" si="20"/>
        <v>2114.46</v>
      </c>
      <c r="AD12" s="2">
        <f t="shared" ref="AD12:AR12" si="21">+SUM(AD9:AD11)</f>
        <v>2590.88411</v>
      </c>
      <c r="AE12" s="2">
        <f t="shared" si="21"/>
        <v>3176.2632822999994</v>
      </c>
      <c r="AF12" s="2">
        <f t="shared" si="21"/>
        <v>3895.8577877389994</v>
      </c>
      <c r="AG12" s="2">
        <f t="shared" si="21"/>
        <v>4780.8565716132689</v>
      </c>
      <c r="AH12" s="2">
        <f t="shared" si="21"/>
        <v>5869.7838186652207</v>
      </c>
      <c r="AI12" s="2">
        <f t="shared" si="21"/>
        <v>7210.2423400989128</v>
      </c>
      <c r="AJ12" s="2">
        <f t="shared" si="21"/>
        <v>8861.0750785555592</v>
      </c>
      <c r="AK12" s="2">
        <f t="shared" si="21"/>
        <v>10895.045778819789</v>
      </c>
      <c r="AL12" s="2">
        <f t="shared" si="21"/>
        <v>13402.164449153457</v>
      </c>
      <c r="AM12" s="2">
        <f t="shared" si="21"/>
        <v>16493.813824672688</v>
      </c>
      <c r="AN12" s="2">
        <f t="shared" si="21"/>
        <v>20307.871115840066</v>
      </c>
      <c r="AO12" s="2">
        <f t="shared" si="21"/>
        <v>25015.066721363266</v>
      </c>
      <c r="AP12" s="2">
        <f t="shared" si="21"/>
        <v>30826.8805985656</v>
      </c>
      <c r="AQ12" s="2">
        <f t="shared" si="21"/>
        <v>38005.350474323932</v>
      </c>
      <c r="AR12" s="2">
        <f t="shared" si="21"/>
        <v>46875.25761030733</v>
      </c>
      <c r="AT12" s="10" t="s">
        <v>36</v>
      </c>
      <c r="AU12" s="6">
        <f>+AU11/Main!L4</f>
        <v>125.95949604030204</v>
      </c>
    </row>
    <row r="13" spans="1:47" x14ac:dyDescent="0.2">
      <c r="A13" s="2" t="s">
        <v>8</v>
      </c>
      <c r="H13" s="2">
        <f t="shared" ref="H13:O13" si="22">+H8-H12</f>
        <v>-31.341999999999928</v>
      </c>
      <c r="I13" s="2">
        <f t="shared" si="22"/>
        <v>-34.627999999999986</v>
      </c>
      <c r="J13" s="2">
        <f t="shared" si="22"/>
        <v>-34.96999999999997</v>
      </c>
      <c r="K13" s="2">
        <f t="shared" si="22"/>
        <v>-22.006000000000029</v>
      </c>
      <c r="L13" s="2">
        <f t="shared" si="22"/>
        <v>-4.230000000000075</v>
      </c>
      <c r="M13" s="2">
        <f t="shared" si="22"/>
        <v>27.741999999999962</v>
      </c>
      <c r="N13" s="2">
        <f t="shared" si="22"/>
        <v>11.995999999999981</v>
      </c>
      <c r="O13" s="2">
        <f t="shared" si="22"/>
        <v>12.617999999999995</v>
      </c>
      <c r="P13" s="2">
        <f t="shared" ref="P13:Q13" si="23">+P8-P12</f>
        <v>20.27800000000002</v>
      </c>
      <c r="Q13" s="2">
        <f t="shared" si="23"/>
        <v>9.3920000000000528</v>
      </c>
      <c r="W13" s="2">
        <f t="shared" ref="W13" si="24">+W8-W12</f>
        <v>-11.033000000000015</v>
      </c>
      <c r="X13" s="2">
        <f t="shared" ref="X13:Y13" si="25">+X8-X12</f>
        <v>-20.140000000000043</v>
      </c>
      <c r="Y13" s="2">
        <f t="shared" si="25"/>
        <v>-13.773000000000025</v>
      </c>
      <c r="Z13" s="2">
        <f t="shared" ref="Z13:AA13" si="26">+Z8-Z12</f>
        <v>-19.155999999999949</v>
      </c>
      <c r="AA13" s="2">
        <f t="shared" si="26"/>
        <v>-58.695000000000164</v>
      </c>
      <c r="AB13" s="2">
        <f t="shared" ref="AB13:AC13" si="27">+AB8-AB12</f>
        <v>-33.463999999999942</v>
      </c>
      <c r="AC13" s="2">
        <f t="shared" si="27"/>
        <v>54.284000000000106</v>
      </c>
      <c r="AD13" s="2">
        <f t="shared" ref="AD13:AR13" si="28">+AD8-AD12</f>
        <v>145.82243999999992</v>
      </c>
      <c r="AE13" s="2">
        <f t="shared" si="28"/>
        <v>275.55176520000077</v>
      </c>
      <c r="AF13" s="2">
        <f t="shared" si="28"/>
        <v>456.0292536360007</v>
      </c>
      <c r="AG13" s="2">
        <f t="shared" si="28"/>
        <v>703.54410850548084</v>
      </c>
      <c r="AH13" s="2">
        <f t="shared" si="28"/>
        <v>1039.1672855632169</v>
      </c>
      <c r="AI13" s="2">
        <f t="shared" si="28"/>
        <v>1490.0868450826338</v>
      </c>
      <c r="AJ13" s="2">
        <f t="shared" si="28"/>
        <v>2091.3047687965754</v>
      </c>
      <c r="AK13" s="2">
        <f t="shared" si="28"/>
        <v>2887.7910694206184</v>
      </c>
      <c r="AL13" s="2">
        <f t="shared" si="28"/>
        <v>3937.2160580073396</v>
      </c>
      <c r="AM13" s="2">
        <f t="shared" si="28"/>
        <v>5313.4131455106544</v>
      </c>
      <c r="AN13" s="2">
        <f t="shared" si="28"/>
        <v>7110.7642003679284</v>
      </c>
      <c r="AO13" s="2">
        <f t="shared" si="28"/>
        <v>9449.7493480713056</v>
      </c>
      <c r="AP13" s="2">
        <f t="shared" si="28"/>
        <v>12483.965797237106</v>
      </c>
      <c r="AQ13" s="2">
        <f t="shared" si="28"/>
        <v>16408.999091240847</v>
      </c>
      <c r="AR13" s="2">
        <f t="shared" si="28"/>
        <v>21473.629231622304</v>
      </c>
      <c r="AT13" s="10" t="s">
        <v>90</v>
      </c>
      <c r="AU13" s="6">
        <f>+Main!L3</f>
        <v>103</v>
      </c>
    </row>
    <row r="14" spans="1:47" x14ac:dyDescent="0.2">
      <c r="A14" s="2" t="s">
        <v>9</v>
      </c>
      <c r="H14" s="2">
        <f>-3.728+12.011</f>
        <v>8.2829999999999995</v>
      </c>
      <c r="I14" s="2">
        <f>-3.019+11.793</f>
        <v>8.7739999999999991</v>
      </c>
      <c r="J14" s="2">
        <f>-2.181+16.727</f>
        <v>14.545999999999999</v>
      </c>
      <c r="K14" s="2">
        <f>-1.526+22.624</f>
        <v>21.097999999999999</v>
      </c>
      <c r="L14" s="2">
        <f>-1.303+29.833</f>
        <v>28.529999999999998</v>
      </c>
      <c r="M14" s="2">
        <f>-1.292+30.817</f>
        <v>29.524999999999999</v>
      </c>
      <c r="N14" s="2">
        <f>-1.374+35.563</f>
        <v>34.189</v>
      </c>
      <c r="O14" s="2">
        <f>-1.477+36.652</f>
        <v>35.175000000000004</v>
      </c>
      <c r="P14" s="2">
        <f>-1.574+37.432</f>
        <v>35.858000000000004</v>
      </c>
      <c r="Q14" s="2">
        <f>-2.643+47.077</f>
        <v>44.433999999999997</v>
      </c>
      <c r="W14" s="10">
        <v>0.79300000000000004</v>
      </c>
      <c r="X14" s="10">
        <f>-0.032+4.196</f>
        <v>4.1639999999999997</v>
      </c>
      <c r="Y14" s="10">
        <f>-30.434+21.985</f>
        <v>-8.4490000000000016</v>
      </c>
      <c r="Z14" s="10">
        <f>-21.052+21.786</f>
        <v>0.73400000000000176</v>
      </c>
      <c r="AA14" s="10">
        <f>-16.535+37.16</f>
        <v>20.624999999999996</v>
      </c>
      <c r="AB14" s="10">
        <f>-6.302+100.001</f>
        <v>93.699000000000012</v>
      </c>
      <c r="AC14" s="10">
        <f t="shared" ref="AC14" si="29">+SUM(N14:Q14)</f>
        <v>149.65600000000001</v>
      </c>
      <c r="AD14" s="2">
        <f>+AC28*0.06</f>
        <v>154.54523999999998</v>
      </c>
      <c r="AE14" s="2">
        <f t="shared" ref="AE14:AR14" si="30">+AD28*0.06</f>
        <v>168.96288863999999</v>
      </c>
      <c r="AF14" s="2">
        <f t="shared" si="30"/>
        <v>190.29959202432002</v>
      </c>
      <c r="AG14" s="2">
        <f t="shared" si="30"/>
        <v>221.32337661601542</v>
      </c>
      <c r="AH14" s="2">
        <f t="shared" si="30"/>
        <v>265.71701590184722</v>
      </c>
      <c r="AI14" s="2">
        <f t="shared" si="30"/>
        <v>328.35146237217026</v>
      </c>
      <c r="AJ14" s="2">
        <f t="shared" si="30"/>
        <v>415.63650113000091</v>
      </c>
      <c r="AK14" s="2">
        <f t="shared" si="30"/>
        <v>535.9696820864765</v>
      </c>
      <c r="AL14" s="2">
        <f t="shared" si="30"/>
        <v>700.31019815881712</v>
      </c>
      <c r="AM14" s="2">
        <f t="shared" si="30"/>
        <v>922.91145845479264</v>
      </c>
      <c r="AN14" s="2">
        <f t="shared" si="30"/>
        <v>1222.2550394451339</v>
      </c>
      <c r="AO14" s="2">
        <f t="shared" si="30"/>
        <v>1622.239962956161</v>
      </c>
      <c r="AP14" s="2">
        <f t="shared" si="30"/>
        <v>2153.6954498854793</v>
      </c>
      <c r="AQ14" s="2">
        <f t="shared" si="30"/>
        <v>2856.3031897473634</v>
      </c>
      <c r="AR14" s="2">
        <f t="shared" si="30"/>
        <v>3781.0376992347974</v>
      </c>
      <c r="AT14" s="10" t="s">
        <v>91</v>
      </c>
      <c r="AU14" s="7">
        <f>+AU12/AU13-1</f>
        <v>0.22290772854662166</v>
      </c>
    </row>
    <row r="15" spans="1:47" x14ac:dyDescent="0.2">
      <c r="A15" s="2" t="s">
        <v>10</v>
      </c>
      <c r="H15" s="2">
        <f t="shared" ref="H15:O15" si="31">+H13+H14</f>
        <v>-23.058999999999926</v>
      </c>
      <c r="I15" s="2">
        <f t="shared" si="31"/>
        <v>-25.853999999999985</v>
      </c>
      <c r="J15" s="2">
        <f t="shared" si="31"/>
        <v>-20.423999999999971</v>
      </c>
      <c r="K15" s="2">
        <f t="shared" si="31"/>
        <v>-0.90800000000002967</v>
      </c>
      <c r="L15" s="2">
        <f t="shared" si="31"/>
        <v>24.299999999999923</v>
      </c>
      <c r="M15" s="2">
        <f t="shared" si="31"/>
        <v>57.26699999999996</v>
      </c>
      <c r="N15" s="2">
        <f t="shared" si="31"/>
        <v>46.184999999999981</v>
      </c>
      <c r="O15" s="2">
        <f t="shared" si="31"/>
        <v>47.792999999999999</v>
      </c>
      <c r="P15" s="2">
        <f t="shared" ref="P15:Q15" si="32">+P13+P14</f>
        <v>56.136000000000024</v>
      </c>
      <c r="Q15" s="2">
        <f t="shared" si="32"/>
        <v>53.82600000000005</v>
      </c>
      <c r="W15" s="2">
        <f t="shared" ref="W15" si="33">+W13+W14</f>
        <v>-10.240000000000016</v>
      </c>
      <c r="X15" s="2">
        <f t="shared" ref="X15:Y15" si="34">+X13+X14</f>
        <v>-15.976000000000043</v>
      </c>
      <c r="Y15" s="2">
        <f t="shared" si="34"/>
        <v>-22.222000000000026</v>
      </c>
      <c r="Z15" s="2">
        <f t="shared" ref="Z15:AA15" si="35">+Z13+Z14</f>
        <v>-18.421999999999947</v>
      </c>
      <c r="AA15" s="2">
        <f t="shared" si="35"/>
        <v>-38.070000000000164</v>
      </c>
      <c r="AB15" s="2">
        <f t="shared" ref="AB15:AR15" si="36">+AB13+AB14</f>
        <v>60.23500000000007</v>
      </c>
      <c r="AC15" s="2">
        <f t="shared" si="36"/>
        <v>203.94000000000011</v>
      </c>
      <c r="AD15" s="2">
        <f t="shared" si="36"/>
        <v>300.36767999999989</v>
      </c>
      <c r="AE15" s="2">
        <f t="shared" si="36"/>
        <v>444.51465384000073</v>
      </c>
      <c r="AF15" s="2">
        <f t="shared" si="36"/>
        <v>646.32884566032067</v>
      </c>
      <c r="AG15" s="2">
        <f t="shared" si="36"/>
        <v>924.8674851214962</v>
      </c>
      <c r="AH15" s="2">
        <f t="shared" si="36"/>
        <v>1304.884301465064</v>
      </c>
      <c r="AI15" s="2">
        <f t="shared" si="36"/>
        <v>1818.4383074548041</v>
      </c>
      <c r="AJ15" s="2">
        <f t="shared" si="36"/>
        <v>2506.9412699265763</v>
      </c>
      <c r="AK15" s="2">
        <f t="shared" si="36"/>
        <v>3423.7607515070949</v>
      </c>
      <c r="AL15" s="2">
        <f t="shared" si="36"/>
        <v>4637.5262561661566</v>
      </c>
      <c r="AM15" s="2">
        <f t="shared" si="36"/>
        <v>6236.3246039654468</v>
      </c>
      <c r="AN15" s="2">
        <f t="shared" si="36"/>
        <v>8333.0192398130621</v>
      </c>
      <c r="AO15" s="2">
        <f t="shared" si="36"/>
        <v>11071.989311027466</v>
      </c>
      <c r="AP15" s="2">
        <f t="shared" si="36"/>
        <v>14637.661247122585</v>
      </c>
      <c r="AQ15" s="2">
        <f t="shared" si="36"/>
        <v>19265.30228098821</v>
      </c>
      <c r="AR15" s="2">
        <f t="shared" si="36"/>
        <v>25254.6669308571</v>
      </c>
    </row>
    <row r="16" spans="1:47" x14ac:dyDescent="0.2">
      <c r="A16" s="2" t="s">
        <v>11</v>
      </c>
      <c r="H16" s="2">
        <v>2.9260000000000002</v>
      </c>
      <c r="I16" s="2">
        <v>3.18</v>
      </c>
      <c r="J16" s="2">
        <v>3.6619999999999999</v>
      </c>
      <c r="K16" s="2">
        <v>3.0609999999999999</v>
      </c>
      <c r="L16" s="2">
        <v>1.67</v>
      </c>
      <c r="M16" s="2">
        <v>3.274</v>
      </c>
      <c r="N16" s="2">
        <v>3.5539999999999998</v>
      </c>
      <c r="O16" s="2">
        <v>3.9689999999999999</v>
      </c>
      <c r="P16" s="2">
        <v>4.4390000000000001</v>
      </c>
      <c r="Q16" s="2">
        <v>8.2319999999999993</v>
      </c>
      <c r="W16" s="10">
        <v>-0.52200000000000002</v>
      </c>
      <c r="X16" s="10">
        <v>-0.73399999999999999</v>
      </c>
      <c r="Y16" s="10">
        <v>2.3250000000000002</v>
      </c>
      <c r="Z16" s="10">
        <v>2.323</v>
      </c>
      <c r="AA16" s="10">
        <v>12.09</v>
      </c>
      <c r="AB16" s="10">
        <v>11.667</v>
      </c>
      <c r="AC16" s="10">
        <f t="shared" ref="AC16" si="37">+SUM(N16:Q16)</f>
        <v>20.193999999999999</v>
      </c>
      <c r="AD16" s="2">
        <f>+AD15*0.2</f>
        <v>60.073535999999983</v>
      </c>
      <c r="AE16" s="2">
        <f t="shared" ref="AE16:AR16" si="38">+AE15*0.2</f>
        <v>88.902930768000147</v>
      </c>
      <c r="AF16" s="2">
        <f t="shared" si="38"/>
        <v>129.26576913206415</v>
      </c>
      <c r="AG16" s="2">
        <f t="shared" si="38"/>
        <v>184.97349702429926</v>
      </c>
      <c r="AH16" s="2">
        <f t="shared" si="38"/>
        <v>260.97686029301281</v>
      </c>
      <c r="AI16" s="2">
        <f t="shared" si="38"/>
        <v>363.68766149096086</v>
      </c>
      <c r="AJ16" s="2">
        <f t="shared" si="38"/>
        <v>501.38825398531526</v>
      </c>
      <c r="AK16" s="2">
        <f t="shared" si="38"/>
        <v>684.75215030141908</v>
      </c>
      <c r="AL16" s="2">
        <f t="shared" si="38"/>
        <v>927.50525123323132</v>
      </c>
      <c r="AM16" s="2">
        <f t="shared" si="38"/>
        <v>1247.2649207930895</v>
      </c>
      <c r="AN16" s="2">
        <f t="shared" si="38"/>
        <v>1666.6038479626125</v>
      </c>
      <c r="AO16" s="2">
        <f t="shared" si="38"/>
        <v>2214.3978622054933</v>
      </c>
      <c r="AP16" s="2">
        <f t="shared" si="38"/>
        <v>2927.5322494245174</v>
      </c>
      <c r="AQ16" s="2">
        <f t="shared" si="38"/>
        <v>3853.060456197642</v>
      </c>
      <c r="AR16" s="2">
        <f t="shared" si="38"/>
        <v>5050.9333861714204</v>
      </c>
    </row>
    <row r="17" spans="1:145" x14ac:dyDescent="0.2">
      <c r="A17" s="2" t="s">
        <v>12</v>
      </c>
      <c r="H17" s="2">
        <f t="shared" ref="H17:O17" si="39">+H15-H16</f>
        <v>-25.984999999999928</v>
      </c>
      <c r="I17" s="2">
        <f t="shared" si="39"/>
        <v>-29.033999999999985</v>
      </c>
      <c r="J17" s="2">
        <f t="shared" si="39"/>
        <v>-24.08599999999997</v>
      </c>
      <c r="K17" s="2">
        <f t="shared" si="39"/>
        <v>-3.9690000000000296</v>
      </c>
      <c r="L17" s="2">
        <f t="shared" si="39"/>
        <v>22.629999999999924</v>
      </c>
      <c r="M17" s="2">
        <f t="shared" si="39"/>
        <v>53.992999999999959</v>
      </c>
      <c r="N17" s="2">
        <f t="shared" si="39"/>
        <v>42.630999999999979</v>
      </c>
      <c r="O17" s="2">
        <f t="shared" si="39"/>
        <v>43.823999999999998</v>
      </c>
      <c r="P17" s="2">
        <f t="shared" ref="P17:Q17" si="40">+P15-P16</f>
        <v>51.697000000000024</v>
      </c>
      <c r="Q17" s="2">
        <f t="shared" si="40"/>
        <v>45.594000000000051</v>
      </c>
      <c r="W17" s="2">
        <f t="shared" ref="W17" si="41">+W15-W16</f>
        <v>-9.718000000000016</v>
      </c>
      <c r="X17" s="2">
        <f t="shared" ref="X17:Y17" si="42">+X15-X16</f>
        <v>-15.242000000000044</v>
      </c>
      <c r="Y17" s="2">
        <f t="shared" si="42"/>
        <v>-24.547000000000025</v>
      </c>
      <c r="Z17" s="2">
        <f t="shared" ref="Z17:AA17" si="43">+Z15-Z16</f>
        <v>-20.744999999999948</v>
      </c>
      <c r="AA17" s="2">
        <f t="shared" si="43"/>
        <v>-50.160000000000167</v>
      </c>
      <c r="AB17" s="2">
        <f t="shared" ref="AB17:AR17" si="44">+AB15-AB16</f>
        <v>48.568000000000069</v>
      </c>
      <c r="AC17" s="2">
        <f t="shared" si="44"/>
        <v>183.74600000000012</v>
      </c>
      <c r="AD17" s="2">
        <f t="shared" si="44"/>
        <v>240.2941439999999</v>
      </c>
      <c r="AE17" s="2">
        <f t="shared" si="44"/>
        <v>355.61172307200059</v>
      </c>
      <c r="AF17" s="2">
        <f t="shared" si="44"/>
        <v>517.06307652825649</v>
      </c>
      <c r="AG17" s="2">
        <f t="shared" si="44"/>
        <v>739.89398809719694</v>
      </c>
      <c r="AH17" s="2">
        <f t="shared" si="44"/>
        <v>1043.9074411720512</v>
      </c>
      <c r="AI17" s="2">
        <f t="shared" si="44"/>
        <v>1454.7506459638432</v>
      </c>
      <c r="AJ17" s="2">
        <f t="shared" si="44"/>
        <v>2005.553015941261</v>
      </c>
      <c r="AK17" s="2">
        <f t="shared" si="44"/>
        <v>2739.0086012056759</v>
      </c>
      <c r="AL17" s="2">
        <f t="shared" si="44"/>
        <v>3710.0210049329253</v>
      </c>
      <c r="AM17" s="2">
        <f t="shared" si="44"/>
        <v>4989.0596831723578</v>
      </c>
      <c r="AN17" s="2">
        <f t="shared" si="44"/>
        <v>6666.4153918504499</v>
      </c>
      <c r="AO17" s="2">
        <f t="shared" si="44"/>
        <v>8857.5914488219732</v>
      </c>
      <c r="AP17" s="2">
        <f t="shared" si="44"/>
        <v>11710.128997698068</v>
      </c>
      <c r="AQ17" s="2">
        <f t="shared" si="44"/>
        <v>15412.241824790568</v>
      </c>
      <c r="AR17" s="2">
        <f t="shared" si="44"/>
        <v>20203.733544685681</v>
      </c>
      <c r="AS17" s="2">
        <f>+AR17*(1+$AU$7)</f>
        <v>19799.658873791966</v>
      </c>
      <c r="AT17" s="2">
        <f t="shared" ref="AT17:DE17" si="45">+AS17*(1+$AU$7)</f>
        <v>19403.665696316126</v>
      </c>
      <c r="AU17" s="2">
        <f t="shared" si="45"/>
        <v>19015.592382389805</v>
      </c>
      <c r="AV17" s="2">
        <f t="shared" si="45"/>
        <v>18635.280534742007</v>
      </c>
      <c r="AW17" s="2">
        <f t="shared" si="45"/>
        <v>18262.574924047167</v>
      </c>
      <c r="AX17" s="2">
        <f t="shared" si="45"/>
        <v>17897.323425566225</v>
      </c>
      <c r="AY17" s="2">
        <f t="shared" si="45"/>
        <v>17539.376957054901</v>
      </c>
      <c r="AZ17" s="2">
        <f t="shared" si="45"/>
        <v>17188.589417913801</v>
      </c>
      <c r="BA17" s="2">
        <f t="shared" si="45"/>
        <v>16844.817629555524</v>
      </c>
      <c r="BB17" s="2">
        <f t="shared" si="45"/>
        <v>16507.921276964415</v>
      </c>
      <c r="BC17" s="2">
        <f t="shared" si="45"/>
        <v>16177.762851425126</v>
      </c>
      <c r="BD17" s="2">
        <f t="shared" si="45"/>
        <v>15854.207594396623</v>
      </c>
      <c r="BE17" s="2">
        <f t="shared" si="45"/>
        <v>15537.12344250869</v>
      </c>
      <c r="BF17" s="2">
        <f t="shared" si="45"/>
        <v>15226.380973658515</v>
      </c>
      <c r="BG17" s="2">
        <f t="shared" si="45"/>
        <v>14921.853354185345</v>
      </c>
      <c r="BH17" s="2">
        <f t="shared" si="45"/>
        <v>14623.416287101638</v>
      </c>
      <c r="BI17" s="2">
        <f t="shared" si="45"/>
        <v>14330.947961359605</v>
      </c>
      <c r="BJ17" s="2">
        <f t="shared" si="45"/>
        <v>14044.329002132412</v>
      </c>
      <c r="BK17" s="2">
        <f t="shared" si="45"/>
        <v>13763.442422089764</v>
      </c>
      <c r="BL17" s="2">
        <f t="shared" si="45"/>
        <v>13488.173573647968</v>
      </c>
      <c r="BM17" s="2">
        <f t="shared" si="45"/>
        <v>13218.410102175008</v>
      </c>
      <c r="BN17" s="2">
        <f t="shared" si="45"/>
        <v>12954.041900131508</v>
      </c>
      <c r="BO17" s="2">
        <f t="shared" si="45"/>
        <v>12694.961062128878</v>
      </c>
      <c r="BP17" s="2">
        <f t="shared" si="45"/>
        <v>12441.061840886299</v>
      </c>
      <c r="BQ17" s="2">
        <f t="shared" si="45"/>
        <v>12192.240604068573</v>
      </c>
      <c r="BR17" s="2">
        <f t="shared" si="45"/>
        <v>11948.395791987201</v>
      </c>
      <c r="BS17" s="2">
        <f t="shared" si="45"/>
        <v>11709.427876147456</v>
      </c>
      <c r="BT17" s="2">
        <f t="shared" si="45"/>
        <v>11475.239318624506</v>
      </c>
      <c r="BU17" s="2">
        <f t="shared" si="45"/>
        <v>11245.734532252016</v>
      </c>
      <c r="BV17" s="2">
        <f t="shared" si="45"/>
        <v>11020.819841606975</v>
      </c>
      <c r="BW17" s="2">
        <f t="shared" si="45"/>
        <v>10800.403444774836</v>
      </c>
      <c r="BX17" s="2">
        <f t="shared" si="45"/>
        <v>10584.39537587934</v>
      </c>
      <c r="BY17" s="2">
        <f t="shared" si="45"/>
        <v>10372.707468361752</v>
      </c>
      <c r="BZ17" s="2">
        <f t="shared" si="45"/>
        <v>10165.253318994517</v>
      </c>
      <c r="CA17" s="2">
        <f t="shared" si="45"/>
        <v>9961.9482526146257</v>
      </c>
      <c r="CB17" s="2">
        <f t="shared" si="45"/>
        <v>9762.709287562333</v>
      </c>
      <c r="CC17" s="2">
        <f t="shared" si="45"/>
        <v>9567.4551018110869</v>
      </c>
      <c r="CD17" s="2">
        <f t="shared" si="45"/>
        <v>9376.1059997748653</v>
      </c>
      <c r="CE17" s="2">
        <f t="shared" si="45"/>
        <v>9188.5838797793676</v>
      </c>
      <c r="CF17" s="2">
        <f t="shared" si="45"/>
        <v>9004.8122021837808</v>
      </c>
      <c r="CG17" s="2">
        <f t="shared" si="45"/>
        <v>8824.7159581401047</v>
      </c>
      <c r="CH17" s="2">
        <f t="shared" si="45"/>
        <v>8648.2216389773021</v>
      </c>
      <c r="CI17" s="2">
        <f t="shared" si="45"/>
        <v>8475.2572061977553</v>
      </c>
      <c r="CJ17" s="2">
        <f t="shared" si="45"/>
        <v>8305.7520620737996</v>
      </c>
      <c r="CK17" s="2">
        <f t="shared" si="45"/>
        <v>8139.6370208323233</v>
      </c>
      <c r="CL17" s="2">
        <f t="shared" si="45"/>
        <v>7976.8442804156766</v>
      </c>
      <c r="CM17" s="2">
        <f t="shared" si="45"/>
        <v>7817.3073948073634</v>
      </c>
      <c r="CN17" s="2">
        <f t="shared" si="45"/>
        <v>7660.9612469112162</v>
      </c>
      <c r="CO17" s="2">
        <f t="shared" si="45"/>
        <v>7507.742021972992</v>
      </c>
      <c r="CP17" s="2">
        <f t="shared" si="45"/>
        <v>7357.5871815335322</v>
      </c>
      <c r="CQ17" s="2">
        <f t="shared" si="45"/>
        <v>7210.4354379028618</v>
      </c>
      <c r="CR17" s="2">
        <f t="shared" si="45"/>
        <v>7066.2267291448043</v>
      </c>
      <c r="CS17" s="2">
        <f t="shared" si="45"/>
        <v>6924.9021945619079</v>
      </c>
      <c r="CT17" s="2">
        <f t="shared" si="45"/>
        <v>6786.4041506706699</v>
      </c>
      <c r="CU17" s="2">
        <f t="shared" si="45"/>
        <v>6650.6760676572567</v>
      </c>
      <c r="CV17" s="2">
        <f t="shared" si="45"/>
        <v>6517.6625463041119</v>
      </c>
      <c r="CW17" s="2">
        <f t="shared" si="45"/>
        <v>6387.3092953780297</v>
      </c>
      <c r="CX17" s="2">
        <f t="shared" si="45"/>
        <v>6259.5631094704686</v>
      </c>
      <c r="CY17" s="2">
        <f t="shared" si="45"/>
        <v>6134.3718472810588</v>
      </c>
      <c r="CZ17" s="2">
        <f t="shared" si="45"/>
        <v>6011.6844103354379</v>
      </c>
      <c r="DA17" s="2">
        <f t="shared" si="45"/>
        <v>5891.4507221287286</v>
      </c>
      <c r="DB17" s="2">
        <f t="shared" si="45"/>
        <v>5773.621707686154</v>
      </c>
      <c r="DC17" s="2">
        <f t="shared" si="45"/>
        <v>5658.1492735324309</v>
      </c>
      <c r="DD17" s="2">
        <f t="shared" si="45"/>
        <v>5544.986288061782</v>
      </c>
      <c r="DE17" s="2">
        <f t="shared" si="45"/>
        <v>5434.0865623005466</v>
      </c>
      <c r="DF17" s="2">
        <f t="shared" ref="DF17:EO17" si="46">+DE17*(1+$AU$7)</f>
        <v>5325.4048310545359</v>
      </c>
      <c r="DG17" s="2">
        <f t="shared" si="46"/>
        <v>5218.8967344334451</v>
      </c>
      <c r="DH17" s="2">
        <f t="shared" si="46"/>
        <v>5114.5187997447765</v>
      </c>
      <c r="DI17" s="2">
        <f t="shared" si="46"/>
        <v>5012.2284237498807</v>
      </c>
      <c r="DJ17" s="2">
        <f t="shared" si="46"/>
        <v>4911.9838552748834</v>
      </c>
      <c r="DK17" s="2">
        <f t="shared" si="46"/>
        <v>4813.744178169386</v>
      </c>
      <c r="DL17" s="2">
        <f t="shared" si="46"/>
        <v>4717.4692946059986</v>
      </c>
      <c r="DM17" s="2">
        <f t="shared" si="46"/>
        <v>4623.1199087138784</v>
      </c>
      <c r="DN17" s="2">
        <f t="shared" si="46"/>
        <v>4530.6575105396005</v>
      </c>
      <c r="DO17" s="2">
        <f t="shared" si="46"/>
        <v>4440.0443603288086</v>
      </c>
      <c r="DP17" s="2">
        <f t="shared" si="46"/>
        <v>4351.243473122232</v>
      </c>
      <c r="DQ17" s="2">
        <f t="shared" si="46"/>
        <v>4264.2186036597868</v>
      </c>
      <c r="DR17" s="2">
        <f t="shared" si="46"/>
        <v>4178.9342315865906</v>
      </c>
      <c r="DS17" s="2">
        <f t="shared" si="46"/>
        <v>4095.3555469548587</v>
      </c>
      <c r="DT17" s="2">
        <f t="shared" si="46"/>
        <v>4013.4484360157617</v>
      </c>
      <c r="DU17" s="2">
        <f t="shared" si="46"/>
        <v>3933.1794672954466</v>
      </c>
      <c r="DV17" s="2">
        <f t="shared" si="46"/>
        <v>3854.5158779495378</v>
      </c>
      <c r="DW17" s="2">
        <f t="shared" si="46"/>
        <v>3777.4255603905467</v>
      </c>
      <c r="DX17" s="2">
        <f t="shared" si="46"/>
        <v>3701.8770491827358</v>
      </c>
      <c r="DY17" s="2">
        <f t="shared" si="46"/>
        <v>3627.8395081990811</v>
      </c>
      <c r="DZ17" s="2">
        <f t="shared" si="46"/>
        <v>3555.2827180350996</v>
      </c>
      <c r="EA17" s="2">
        <f t="shared" si="46"/>
        <v>3484.1770636743977</v>
      </c>
      <c r="EB17" s="2">
        <f t="shared" si="46"/>
        <v>3414.4935224009096</v>
      </c>
      <c r="EC17" s="2">
        <f t="shared" si="46"/>
        <v>3346.2036519528915</v>
      </c>
      <c r="ED17" s="2">
        <f t="shared" si="46"/>
        <v>3279.2795789138336</v>
      </c>
      <c r="EE17" s="2">
        <f t="shared" si="46"/>
        <v>3213.6939873355568</v>
      </c>
      <c r="EF17" s="2">
        <f t="shared" si="46"/>
        <v>3149.4201075888454</v>
      </c>
      <c r="EG17" s="2">
        <f t="shared" si="46"/>
        <v>3086.4317054370686</v>
      </c>
      <c r="EH17" s="2">
        <f t="shared" si="46"/>
        <v>3024.703071328327</v>
      </c>
      <c r="EI17" s="2">
        <f t="shared" si="46"/>
        <v>2964.2090099017605</v>
      </c>
      <c r="EJ17" s="2">
        <f t="shared" si="46"/>
        <v>2904.9248297037252</v>
      </c>
      <c r="EK17" s="2">
        <f t="shared" si="46"/>
        <v>2846.8263331096505</v>
      </c>
      <c r="EL17" s="2">
        <f t="shared" si="46"/>
        <v>2789.8898064474574</v>
      </c>
      <c r="EM17" s="2">
        <f t="shared" si="46"/>
        <v>2734.0920103185081</v>
      </c>
      <c r="EN17" s="2">
        <f t="shared" si="46"/>
        <v>2679.4101701121381</v>
      </c>
      <c r="EO17" s="2">
        <f t="shared" si="46"/>
        <v>2625.8219667098952</v>
      </c>
    </row>
    <row r="18" spans="1:145" s="6" customFormat="1" x14ac:dyDescent="0.2">
      <c r="A18" s="6" t="s">
        <v>13</v>
      </c>
      <c r="H18" s="6">
        <f t="shared" ref="H18:O18" si="47">+H17/H19</f>
        <v>-8.223361498781584E-2</v>
      </c>
      <c r="I18" s="6">
        <f t="shared" si="47"/>
        <v>-9.1489468974122995E-2</v>
      </c>
      <c r="J18" s="6">
        <f t="shared" si="47"/>
        <v>-7.5437068960117162E-2</v>
      </c>
      <c r="K18" s="6">
        <f t="shared" si="47"/>
        <v>-1.2317862296913644E-2</v>
      </c>
      <c r="L18" s="6">
        <f t="shared" si="47"/>
        <v>6.4416226171262123E-2</v>
      </c>
      <c r="M18" s="6">
        <f t="shared" si="47"/>
        <v>0.15299498168072598</v>
      </c>
      <c r="N18" s="6">
        <f t="shared" si="47"/>
        <v>0.1197570643212099</v>
      </c>
      <c r="O18" s="6">
        <f t="shared" si="47"/>
        <v>0.12284577002859225</v>
      </c>
      <c r="P18" s="6">
        <f t="shared" ref="P18:Q18" si="48">+P17/P19</f>
        <v>0.14455240678345246</v>
      </c>
      <c r="Q18" s="6">
        <f t="shared" si="48"/>
        <v>0.17472982294780429</v>
      </c>
      <c r="W18" s="6">
        <f t="shared" ref="W18" si="49">+W17/W19</f>
        <v>-0.13696776648673051</v>
      </c>
      <c r="X18" s="6">
        <f t="shared" ref="X18:Y18" si="50">+X17/X19</f>
        <v>-0.10897028018273752</v>
      </c>
      <c r="Y18" s="6">
        <f t="shared" si="50"/>
        <v>-8.1727984018644992E-2</v>
      </c>
      <c r="Z18" s="6">
        <f t="shared" ref="Z18:AA18" si="51">+Z17/Z19</f>
        <v>-6.7125495068727017E-2</v>
      </c>
      <c r="AA18" s="6">
        <f t="shared" si="51"/>
        <v>-0.15903110237468743</v>
      </c>
      <c r="AB18" s="6">
        <f t="shared" ref="AB18:AC18" si="52">+AB17/AB19</f>
        <v>0.13865004053760882</v>
      </c>
      <c r="AC18" s="6">
        <f t="shared" si="52"/>
        <v>0.55208241004616598</v>
      </c>
    </row>
    <row r="19" spans="1:145" x14ac:dyDescent="0.2">
      <c r="A19" s="2" t="s">
        <v>14</v>
      </c>
      <c r="H19" s="2">
        <v>315.99</v>
      </c>
      <c r="I19" s="2">
        <v>317.34800000000001</v>
      </c>
      <c r="J19" s="2">
        <v>319.286</v>
      </c>
      <c r="K19" s="2">
        <v>322.21499999999997</v>
      </c>
      <c r="L19" s="2">
        <v>351.30900000000003</v>
      </c>
      <c r="M19" s="2">
        <v>352.90699999999998</v>
      </c>
      <c r="N19" s="2">
        <v>355.97899999999998</v>
      </c>
      <c r="O19" s="2">
        <v>356.74</v>
      </c>
      <c r="P19" s="2">
        <v>357.63499999999999</v>
      </c>
      <c r="Q19" s="2">
        <v>260.94</v>
      </c>
      <c r="W19" s="2">
        <v>70.950999999999993</v>
      </c>
      <c r="X19" s="2">
        <v>139.87299999999999</v>
      </c>
      <c r="Y19" s="2">
        <v>300.35000000000002</v>
      </c>
      <c r="Z19" s="2">
        <v>309.048</v>
      </c>
      <c r="AA19" s="2">
        <v>315.41000000000003</v>
      </c>
      <c r="AB19" s="2">
        <v>350.29199999999997</v>
      </c>
      <c r="AC19" s="2">
        <f>+AVERAGE(N19:Q19)</f>
        <v>332.82350000000002</v>
      </c>
    </row>
    <row r="21" spans="1:145" s="7" customFormat="1" x14ac:dyDescent="0.2">
      <c r="A21" s="7" t="s">
        <v>15</v>
      </c>
      <c r="H21" s="7">
        <f t="shared" ref="H21:O21" si="53">+H8/H6</f>
        <v>0.78558551129009724</v>
      </c>
      <c r="I21" s="7">
        <f t="shared" si="53"/>
        <v>0.79387045988593929</v>
      </c>
      <c r="J21" s="7">
        <f t="shared" si="53"/>
        <v>0.79258647247121738</v>
      </c>
      <c r="K21" s="7">
        <f t="shared" si="53"/>
        <v>0.80009029168138812</v>
      </c>
      <c r="L21" s="7">
        <f t="shared" si="53"/>
        <v>0.81130190526285029</v>
      </c>
      <c r="M21" s="7">
        <f t="shared" si="53"/>
        <v>0.82221796356815668</v>
      </c>
      <c r="N21" s="7">
        <f t="shared" si="53"/>
        <v>0.81988145661452783</v>
      </c>
      <c r="O21" s="7">
        <f t="shared" si="53"/>
        <v>0.80861146883751056</v>
      </c>
      <c r="P21" s="7">
        <f t="shared" ref="P21:Q21" si="54">+P8/P6</f>
        <v>0.80035825256225945</v>
      </c>
      <c r="Q21" s="7">
        <f t="shared" si="54"/>
        <v>0.80456456114524755</v>
      </c>
      <c r="W21" s="7">
        <f t="shared" ref="W21" si="55">+W8/W6</f>
        <v>0.76509640190430994</v>
      </c>
      <c r="X21" s="7">
        <f t="shared" ref="X21:Y21" si="56">+X8/X6</f>
        <v>0.75481283422459888</v>
      </c>
      <c r="Y21" s="7">
        <f t="shared" si="56"/>
        <v>0.78425130827585976</v>
      </c>
      <c r="Z21" s="7">
        <f t="shared" ref="Z21:AA21" si="57">+Z8/Z6</f>
        <v>0.7723088617241326</v>
      </c>
      <c r="AA21" s="7">
        <f t="shared" si="57"/>
        <v>0.79300161184406903</v>
      </c>
      <c r="AB21" s="7">
        <f t="shared" ref="AB21:AR21" si="58">+AB8/AB6</f>
        <v>0.80740655124440941</v>
      </c>
      <c r="AC21" s="7">
        <f t="shared" si="58"/>
        <v>0.80794404448128454</v>
      </c>
      <c r="AD21" s="7">
        <f t="shared" si="58"/>
        <v>0.81562628270203308</v>
      </c>
      <c r="AE21" s="7">
        <f t="shared" si="58"/>
        <v>0.82300123139395187</v>
      </c>
      <c r="AF21" s="7">
        <f t="shared" si="58"/>
        <v>0.83008118213819371</v>
      </c>
      <c r="AG21" s="7">
        <f t="shared" si="58"/>
        <v>0.83687793485266593</v>
      </c>
      <c r="AH21" s="7">
        <f t="shared" si="58"/>
        <v>0.84340281745855938</v>
      </c>
      <c r="AI21" s="7">
        <f t="shared" si="58"/>
        <v>0.849666704760217</v>
      </c>
      <c r="AJ21" s="7">
        <f t="shared" si="58"/>
        <v>0.8556800365698084</v>
      </c>
      <c r="AK21" s="7">
        <f t="shared" si="58"/>
        <v>0.86145283510701598</v>
      </c>
      <c r="AL21" s="7">
        <f t="shared" si="58"/>
        <v>0.86699472170273528</v>
      </c>
      <c r="AM21" s="7">
        <f t="shared" si="58"/>
        <v>0.87231493283462602</v>
      </c>
      <c r="AN21" s="7">
        <f t="shared" si="58"/>
        <v>0.87742233552124094</v>
      </c>
      <c r="AO21" s="7">
        <f t="shared" si="58"/>
        <v>0.88232544210039132</v>
      </c>
      <c r="AP21" s="7">
        <f t="shared" si="58"/>
        <v>0.88703242441637564</v>
      </c>
      <c r="AQ21" s="7">
        <f t="shared" si="58"/>
        <v>0.89155112743972076</v>
      </c>
      <c r="AR21" s="7">
        <f t="shared" si="58"/>
        <v>0.89588908234213183</v>
      </c>
    </row>
    <row r="22" spans="1:145" s="7" customFormat="1" x14ac:dyDescent="0.2">
      <c r="A22" s="7" t="s">
        <v>16</v>
      </c>
      <c r="H22" s="7">
        <f t="shared" ref="H22:O22" si="59">+H13/H8</f>
        <v>-9.1393679250234519E-2</v>
      </c>
      <c r="I22" s="7">
        <f t="shared" si="59"/>
        <v>-9.2925649819397674E-2</v>
      </c>
      <c r="J22" s="7">
        <f t="shared" si="59"/>
        <v>-9.1592456783656281E-2</v>
      </c>
      <c r="K22" s="7">
        <f t="shared" si="59"/>
        <v>-5.398735077794195E-2</v>
      </c>
      <c r="L22" s="7">
        <f t="shared" si="59"/>
        <v>-9.5223730744210047E-3</v>
      </c>
      <c r="M22" s="7">
        <f t="shared" si="59"/>
        <v>5.7221236747658846E-2</v>
      </c>
      <c r="N22" s="7">
        <f t="shared" si="59"/>
        <v>2.3936706208657961E-2</v>
      </c>
      <c r="O22" s="7">
        <f t="shared" si="59"/>
        <v>2.4182605695887146E-2</v>
      </c>
      <c r="P22" s="7">
        <f t="shared" ref="P22:Q22" si="60">+P13/P8</f>
        <v>3.6718212436171405E-2</v>
      </c>
      <c r="Q22" s="7">
        <f t="shared" si="60"/>
        <v>1.582346192142528E-2</v>
      </c>
      <c r="W22" s="7">
        <f t="shared" ref="W22" si="61">+W13/W8</f>
        <v>-7.2802016522817953E-2</v>
      </c>
      <c r="X22" s="7">
        <f t="shared" ref="X22:Y22" si="62">+X13/X8</f>
        <v>-7.3549013807786723E-2</v>
      </c>
      <c r="Y22" s="7">
        <f t="shared" si="62"/>
        <v>-2.9101842715242333E-2</v>
      </c>
      <c r="Z22" s="7">
        <f t="shared" ref="Z22:AA22" si="63">+Z13/Z8</f>
        <v>-2.4109578006869324E-2</v>
      </c>
      <c r="AA22" s="7">
        <f t="shared" si="63"/>
        <v>-4.4186163809879546E-2</v>
      </c>
      <c r="AB22" s="7">
        <f t="shared" ref="AB22:AC22" si="64">+AB13/AB8</f>
        <v>-1.9473351291366434E-2</v>
      </c>
      <c r="AC22" s="7">
        <f t="shared" si="64"/>
        <v>2.503015570302447E-2</v>
      </c>
      <c r="AD22" s="7">
        <f t="shared" ref="AD22:AR22" si="65">+AD13/AD8</f>
        <v>5.3283915295923828E-2</v>
      </c>
      <c r="AE22" s="7">
        <f t="shared" si="65"/>
        <v>7.9828079259220724E-2</v>
      </c>
      <c r="AF22" s="7">
        <f t="shared" si="65"/>
        <v>0.10478885350202381</v>
      </c>
      <c r="AG22" s="7">
        <f t="shared" si="65"/>
        <v>0.12828094618539934</v>
      </c>
      <c r="AH22" s="7">
        <f t="shared" si="65"/>
        <v>0.15040883484140197</v>
      </c>
      <c r="AI22" s="7">
        <f t="shared" si="65"/>
        <v>0.17126786968251256</v>
      </c>
      <c r="AJ22" s="7">
        <f t="shared" si="65"/>
        <v>0.19094523728577334</v>
      </c>
      <c r="AK22" s="7">
        <f t="shared" si="65"/>
        <v>0.2095208048399187</v>
      </c>
      <c r="AL22" s="7">
        <f t="shared" si="65"/>
        <v>0.22706786187553546</v>
      </c>
      <c r="AM22" s="7">
        <f t="shared" si="65"/>
        <v>0.24365377371343891</v>
      </c>
      <c r="AN22" s="7">
        <f t="shared" si="65"/>
        <v>0.25934055865152916</v>
      </c>
      <c r="AO22" s="7">
        <f t="shared" si="65"/>
        <v>0.27418539907578093</v>
      </c>
      <c r="AP22" s="7">
        <f t="shared" si="65"/>
        <v>0.28824109515548368</v>
      </c>
      <c r="AQ22" s="7">
        <f t="shared" si="65"/>
        <v>0.30155646850964124</v>
      </c>
      <c r="AR22" s="7">
        <f t="shared" si="65"/>
        <v>0.31417672216497589</v>
      </c>
    </row>
    <row r="23" spans="1:145" s="7" customFormat="1" x14ac:dyDescent="0.2">
      <c r="A23" s="7" t="s">
        <v>17</v>
      </c>
      <c r="H23" s="7">
        <f t="shared" ref="H23:O23" si="66">+H17/H8</f>
        <v>-7.5772597642694881E-2</v>
      </c>
      <c r="I23" s="7">
        <f t="shared" si="66"/>
        <v>-7.7913922746228242E-2</v>
      </c>
      <c r="J23" s="7">
        <f t="shared" si="66"/>
        <v>-6.308538501833412E-2</v>
      </c>
      <c r="K23" s="7">
        <f t="shared" si="66"/>
        <v>-9.73715328717863E-3</v>
      </c>
      <c r="L23" s="7">
        <f t="shared" si="66"/>
        <v>5.0943570372137779E-2</v>
      </c>
      <c r="M23" s="7">
        <f t="shared" si="66"/>
        <v>0.11136710531743732</v>
      </c>
      <c r="N23" s="7">
        <f t="shared" si="66"/>
        <v>8.5065498698007558E-2</v>
      </c>
      <c r="O23" s="7">
        <f t="shared" si="66"/>
        <v>8.3989420828701755E-2</v>
      </c>
      <c r="P23" s="7">
        <f t="shared" ref="P23:Q23" si="67">+P17/P8</f>
        <v>9.3609893890558835E-2</v>
      </c>
      <c r="Q23" s="7">
        <f t="shared" si="67"/>
        <v>7.6815898940104446E-2</v>
      </c>
      <c r="W23" s="7">
        <f t="shared" ref="W23" si="68">+W17/W8</f>
        <v>-6.4124897722173932E-2</v>
      </c>
      <c r="X23" s="7">
        <f t="shared" ref="X23:Y23" si="69">+X17/X8</f>
        <v>-5.5662068940331974E-2</v>
      </c>
      <c r="Y23" s="7">
        <f t="shared" si="69"/>
        <v>-5.1866908671389898E-2</v>
      </c>
      <c r="Z23" s="7">
        <f t="shared" ref="Z23:AA23" si="70">+Z17/Z8</f>
        <v>-2.6109479836735446E-2</v>
      </c>
      <c r="AA23" s="7">
        <f t="shared" si="70"/>
        <v>-3.7760933243096671E-2</v>
      </c>
      <c r="AB23" s="7">
        <f t="shared" ref="AB23:AC23" si="71">+AB17/AB8</f>
        <v>2.8262662130022952E-2</v>
      </c>
      <c r="AC23" s="7">
        <f t="shared" si="71"/>
        <v>8.4724614800087111E-2</v>
      </c>
      <c r="AD23" s="7">
        <f t="shared" ref="AD23:AR23" si="72">+AD17/AD8</f>
        <v>8.7804132306403077E-2</v>
      </c>
      <c r="AE23" s="7">
        <f t="shared" si="72"/>
        <v>0.10302166198897439</v>
      </c>
      <c r="AF23" s="7">
        <f t="shared" si="72"/>
        <v>0.1188135334424691</v>
      </c>
      <c r="AG23" s="7">
        <f t="shared" si="72"/>
        <v>0.13490881342410901</v>
      </c>
      <c r="AH23" s="7">
        <f t="shared" si="72"/>
        <v>0.15109492387826506</v>
      </c>
      <c r="AI23" s="7">
        <f t="shared" si="72"/>
        <v>0.16720639127558337</v>
      </c>
      <c r="AJ23" s="7">
        <f t="shared" si="72"/>
        <v>0.18311572862642514</v>
      </c>
      <c r="AK23" s="7">
        <f t="shared" si="72"/>
        <v>0.19872604104396352</v>
      </c>
      <c r="AL23" s="7">
        <f t="shared" si="72"/>
        <v>0.21396502622459695</v>
      </c>
      <c r="AM23" s="7">
        <f t="shared" si="72"/>
        <v>0.22878010532901849</v>
      </c>
      <c r="AN23" s="7">
        <f t="shared" si="72"/>
        <v>0.24313447095267093</v>
      </c>
      <c r="AO23" s="7">
        <f t="shared" si="72"/>
        <v>0.25700387986916917</v>
      </c>
      <c r="AP23" s="7">
        <f t="shared" si="72"/>
        <v>0.27037405112528368</v>
      </c>
      <c r="AQ23" s="7">
        <f t="shared" si="72"/>
        <v>0.28323855651752478</v>
      </c>
      <c r="AR23" s="7">
        <f t="shared" si="72"/>
        <v>0.29559711179219095</v>
      </c>
    </row>
    <row r="24" spans="1:145" s="7" customFormat="1" x14ac:dyDescent="0.2">
      <c r="A24" s="7" t="s">
        <v>18</v>
      </c>
      <c r="H24" s="7">
        <f t="shared" ref="H24:O24" si="73">+H16/H15</f>
        <v>-0.12689188603148485</v>
      </c>
      <c r="I24" s="7">
        <f t="shared" si="73"/>
        <v>-0.12299837549315394</v>
      </c>
      <c r="J24" s="7">
        <f t="shared" si="73"/>
        <v>-0.17929886408147303</v>
      </c>
      <c r="K24" s="7">
        <f t="shared" si="73"/>
        <v>-3.3711453744492288</v>
      </c>
      <c r="L24" s="7">
        <f t="shared" si="73"/>
        <v>6.8724279835391158E-2</v>
      </c>
      <c r="M24" s="7">
        <f t="shared" si="73"/>
        <v>5.7170796444723879E-2</v>
      </c>
      <c r="N24" s="7">
        <f t="shared" si="73"/>
        <v>7.6951391144310946E-2</v>
      </c>
      <c r="O24" s="7">
        <f t="shared" si="73"/>
        <v>8.3045634297909732E-2</v>
      </c>
      <c r="P24" s="7">
        <f t="shared" ref="P24:Q24" si="74">+P16/P15</f>
        <v>7.9075815875730343E-2</v>
      </c>
      <c r="Q24" s="7">
        <f t="shared" si="74"/>
        <v>0.1529372422249469</v>
      </c>
      <c r="W24" s="7">
        <f t="shared" ref="W24" si="75">+W16/W15</f>
        <v>5.097656249999992E-2</v>
      </c>
      <c r="X24" s="7">
        <f t="shared" ref="X24:Y24" si="76">+X16/X15</f>
        <v>4.5943915873810588E-2</v>
      </c>
      <c r="Y24" s="7">
        <f t="shared" si="76"/>
        <v>-0.10462604626046249</v>
      </c>
      <c r="Z24" s="7">
        <f t="shared" ref="Z24:AA24" si="77">+Z16/Z15</f>
        <v>-0.12609922918249955</v>
      </c>
      <c r="AA24" s="7">
        <f t="shared" si="77"/>
        <v>-0.31757289204097577</v>
      </c>
      <c r="AB24" s="7">
        <f t="shared" ref="AB24:AC24" si="78">+AB16/AB15</f>
        <v>0.19369137544616893</v>
      </c>
      <c r="AC24" s="7">
        <f t="shared" si="78"/>
        <v>9.9019319407668865E-2</v>
      </c>
      <c r="AD24" s="7">
        <f t="shared" ref="AD24:AR24" si="79">+AD16/AD15</f>
        <v>0.2</v>
      </c>
      <c r="AE24" s="7">
        <f t="shared" si="79"/>
        <v>0.2</v>
      </c>
      <c r="AF24" s="7">
        <f t="shared" si="79"/>
        <v>0.20000000000000004</v>
      </c>
      <c r="AG24" s="7">
        <f t="shared" si="79"/>
        <v>0.2</v>
      </c>
      <c r="AH24" s="7">
        <f t="shared" si="79"/>
        <v>0.2</v>
      </c>
      <c r="AI24" s="7">
        <f t="shared" si="79"/>
        <v>0.20000000000000004</v>
      </c>
      <c r="AJ24" s="7">
        <f t="shared" si="79"/>
        <v>0.2</v>
      </c>
      <c r="AK24" s="7">
        <f t="shared" si="79"/>
        <v>0.20000000000000004</v>
      </c>
      <c r="AL24" s="7">
        <f t="shared" si="79"/>
        <v>0.2</v>
      </c>
      <c r="AM24" s="7">
        <f t="shared" si="79"/>
        <v>0.2</v>
      </c>
      <c r="AN24" s="7">
        <f t="shared" si="79"/>
        <v>0.2</v>
      </c>
      <c r="AO24" s="7">
        <f t="shared" si="79"/>
        <v>0.2</v>
      </c>
      <c r="AP24" s="7">
        <f t="shared" si="79"/>
        <v>0.2</v>
      </c>
      <c r="AQ24" s="7">
        <f t="shared" si="79"/>
        <v>0.2</v>
      </c>
      <c r="AR24" s="7">
        <f t="shared" si="79"/>
        <v>0.2</v>
      </c>
    </row>
    <row r="25" spans="1:145" s="7" customFormat="1" x14ac:dyDescent="0.2"/>
    <row r="26" spans="1:145" s="9" customFormat="1" x14ac:dyDescent="0.2">
      <c r="A26" s="9" t="s">
        <v>19</v>
      </c>
      <c r="H26" s="9" t="e">
        <f t="shared" ref="H26:Q26" si="80">+H6/D6-1</f>
        <v>#DIV/0!</v>
      </c>
      <c r="I26" s="9" t="e">
        <f t="shared" si="80"/>
        <v>#DIV/0!</v>
      </c>
      <c r="J26" s="9" t="e">
        <f t="shared" si="80"/>
        <v>#DIV/0!</v>
      </c>
      <c r="K26" s="9" t="e">
        <f t="shared" si="80"/>
        <v>#DIV/0!</v>
      </c>
      <c r="L26" s="9">
        <f t="shared" si="80"/>
        <v>0.25428318134024219</v>
      </c>
      <c r="M26" s="9">
        <f t="shared" si="80"/>
        <v>0.25617864545940661</v>
      </c>
      <c r="N26" s="9">
        <f t="shared" si="80"/>
        <v>0.26891267432542976</v>
      </c>
      <c r="O26" s="9">
        <f t="shared" si="80"/>
        <v>0.26659404074902837</v>
      </c>
      <c r="P26" s="9">
        <f t="shared" si="80"/>
        <v>0.26022033254434418</v>
      </c>
      <c r="Q26" s="9">
        <f t="shared" si="80"/>
        <v>0.25112906152643344</v>
      </c>
      <c r="X26" s="9">
        <f t="shared" ref="X26:AC26" si="81">+X6/W6-1</f>
        <v>0.83150996834564328</v>
      </c>
      <c r="Y26" s="9">
        <f t="shared" si="81"/>
        <v>0.66344892221180896</v>
      </c>
      <c r="Z26" s="9">
        <f t="shared" si="81"/>
        <v>0.70479198496684159</v>
      </c>
      <c r="AA26" s="9">
        <f t="shared" si="81"/>
        <v>0.62823294296956389</v>
      </c>
      <c r="AB26" s="9">
        <f t="shared" si="81"/>
        <v>0.27058623365769208</v>
      </c>
      <c r="AC26" s="9">
        <f t="shared" si="81"/>
        <v>0.26119465748024662</v>
      </c>
      <c r="AD26" s="9">
        <f t="shared" ref="AD26:AR26" si="82">+AD6/AC6-1</f>
        <v>0.25</v>
      </c>
      <c r="AE26" s="9">
        <f t="shared" si="82"/>
        <v>0.25</v>
      </c>
      <c r="AF26" s="9">
        <f t="shared" si="82"/>
        <v>0.25</v>
      </c>
      <c r="AG26" s="9">
        <f t="shared" si="82"/>
        <v>0.25</v>
      </c>
      <c r="AH26" s="9">
        <f t="shared" si="82"/>
        <v>0.25</v>
      </c>
      <c r="AI26" s="9">
        <f t="shared" si="82"/>
        <v>0.25</v>
      </c>
      <c r="AJ26" s="9">
        <f t="shared" si="82"/>
        <v>0.25</v>
      </c>
      <c r="AK26" s="9">
        <f t="shared" si="82"/>
        <v>0.25</v>
      </c>
      <c r="AL26" s="9">
        <f t="shared" si="82"/>
        <v>0.25</v>
      </c>
      <c r="AM26" s="9">
        <f t="shared" si="82"/>
        <v>0.25</v>
      </c>
      <c r="AN26" s="9">
        <f t="shared" si="82"/>
        <v>0.25</v>
      </c>
      <c r="AO26" s="9">
        <f t="shared" si="82"/>
        <v>0.25</v>
      </c>
      <c r="AP26" s="9">
        <f t="shared" si="82"/>
        <v>0.25</v>
      </c>
      <c r="AQ26" s="9">
        <f t="shared" si="82"/>
        <v>0.25</v>
      </c>
      <c r="AR26" s="9">
        <f t="shared" si="82"/>
        <v>0.25</v>
      </c>
    </row>
    <row r="28" spans="1:145" x14ac:dyDescent="0.2">
      <c r="A28" s="2" t="s">
        <v>43</v>
      </c>
      <c r="J28" s="2">
        <f t="shared" ref="J28:O28" si="83">+J29-J41</f>
        <v>1278.1980000000001</v>
      </c>
      <c r="K28" s="2">
        <f t="shared" si="83"/>
        <v>1444.8240000000001</v>
      </c>
      <c r="L28" s="2">
        <f t="shared" si="83"/>
        <v>1600.3030000000003</v>
      </c>
      <c r="M28" s="2">
        <f t="shared" si="83"/>
        <v>1840.663</v>
      </c>
      <c r="N28" s="2">
        <f t="shared" si="83"/>
        <v>2038.2839999999997</v>
      </c>
      <c r="O28" s="2">
        <f t="shared" si="83"/>
        <v>2216.1360000000004</v>
      </c>
      <c r="P28" s="2">
        <f t="shared" ref="P28:Q28" si="84">+P29-P41</f>
        <v>2454.0960000000005</v>
      </c>
      <c r="Q28" s="2">
        <f t="shared" si="84"/>
        <v>2575.7539999999999</v>
      </c>
      <c r="AC28" s="2">
        <f>+Q28</f>
        <v>2575.7539999999999</v>
      </c>
      <c r="AD28" s="2">
        <f>+AC28+AD17</f>
        <v>2816.0481439999999</v>
      </c>
      <c r="AE28" s="2">
        <f t="shared" ref="AE28:AR28" si="85">+AD28+AE17</f>
        <v>3171.6598670720005</v>
      </c>
      <c r="AF28" s="2">
        <f t="shared" si="85"/>
        <v>3688.7229436002572</v>
      </c>
      <c r="AG28" s="2">
        <f t="shared" si="85"/>
        <v>4428.6169316974538</v>
      </c>
      <c r="AH28" s="2">
        <f t="shared" si="85"/>
        <v>5472.524372869505</v>
      </c>
      <c r="AI28" s="2">
        <f t="shared" si="85"/>
        <v>6927.2750188333484</v>
      </c>
      <c r="AJ28" s="2">
        <f t="shared" si="85"/>
        <v>8932.8280347746095</v>
      </c>
      <c r="AK28" s="2">
        <f t="shared" si="85"/>
        <v>11671.836635980286</v>
      </c>
      <c r="AL28" s="2">
        <f t="shared" si="85"/>
        <v>15381.857640913211</v>
      </c>
      <c r="AM28" s="2">
        <f t="shared" si="85"/>
        <v>20370.917324085567</v>
      </c>
      <c r="AN28" s="2">
        <f t="shared" si="85"/>
        <v>27037.332715936016</v>
      </c>
      <c r="AO28" s="2">
        <f t="shared" si="85"/>
        <v>35894.924164757991</v>
      </c>
      <c r="AP28" s="2">
        <f t="shared" si="85"/>
        <v>47605.053162456061</v>
      </c>
      <c r="AQ28" s="2">
        <f t="shared" si="85"/>
        <v>63017.294987246627</v>
      </c>
      <c r="AR28" s="2">
        <f t="shared" si="85"/>
        <v>83221.028531932301</v>
      </c>
    </row>
    <row r="29" spans="1:145" x14ac:dyDescent="0.2">
      <c r="A29" s="2" t="s">
        <v>38</v>
      </c>
      <c r="J29" s="2">
        <f>222.548+1795.342</f>
        <v>2017.89</v>
      </c>
      <c r="K29" s="2">
        <f>291.304+1894.058</f>
        <v>2185.3620000000001</v>
      </c>
      <c r="L29" s="2">
        <f>261.309+2080.38</f>
        <v>2341.6890000000003</v>
      </c>
      <c r="M29" s="2">
        <f>330.339+2252.559</f>
        <v>2582.8980000000001</v>
      </c>
      <c r="N29" s="2">
        <f>282.218+2499.151</f>
        <v>2781.3689999999997</v>
      </c>
      <c r="O29" s="2">
        <f>410.963+2549.143</f>
        <v>2960.1060000000002</v>
      </c>
      <c r="P29" s="2">
        <f>337.418+2861.536</f>
        <v>3198.9540000000002</v>
      </c>
      <c r="Q29" s="2">
        <f>1246.983+2942.076</f>
        <v>4189.0590000000002</v>
      </c>
    </row>
    <row r="30" spans="1:145" x14ac:dyDescent="0.2">
      <c r="A30" s="2" t="s">
        <v>44</v>
      </c>
      <c r="J30" s="2">
        <v>367.04599999999999</v>
      </c>
      <c r="K30" s="2">
        <v>333.10199999999998</v>
      </c>
      <c r="L30" s="2">
        <v>400.649</v>
      </c>
      <c r="M30" s="2">
        <v>509.279</v>
      </c>
      <c r="N30" s="2">
        <v>451.05700000000002</v>
      </c>
      <c r="O30" s="2">
        <v>533.29200000000003</v>
      </c>
      <c r="P30" s="2">
        <v>487.06400000000002</v>
      </c>
      <c r="Q30" s="2">
        <v>598.91189999999995</v>
      </c>
    </row>
    <row r="31" spans="1:145" x14ac:dyDescent="0.2">
      <c r="A31" s="2" t="s">
        <v>45</v>
      </c>
      <c r="J31" s="2">
        <f>34.858+56.636</f>
        <v>91.494</v>
      </c>
      <c r="K31" s="2">
        <f>37.502+60.511</f>
        <v>98.013000000000005</v>
      </c>
      <c r="L31" s="2">
        <f>39.805+62.976</f>
        <v>102.78100000000001</v>
      </c>
      <c r="M31" s="2">
        <f>44.938+73.728</f>
        <v>118.666</v>
      </c>
      <c r="N31" s="2">
        <f>46.391+73.067</f>
        <v>119.458</v>
      </c>
      <c r="O31" s="2">
        <f>49.518+77.04</f>
        <v>126.55800000000001</v>
      </c>
      <c r="P31" s="2">
        <f>52.225+79.996</f>
        <v>132.221</v>
      </c>
      <c r="Q31" s="2">
        <f>56.095+86.573</f>
        <v>142.66800000000001</v>
      </c>
    </row>
    <row r="32" spans="1:145" x14ac:dyDescent="0.2">
      <c r="A32" s="2" t="s">
        <v>46</v>
      </c>
      <c r="J32" s="2">
        <v>43.198</v>
      </c>
      <c r="K32" s="2">
        <v>44.103999999999999</v>
      </c>
      <c r="L32" s="2">
        <v>37.341000000000001</v>
      </c>
      <c r="M32" s="2">
        <v>41.021999999999998</v>
      </c>
      <c r="N32" s="2">
        <v>54.845999999999997</v>
      </c>
      <c r="O32" s="2">
        <v>49.173999999999999</v>
      </c>
      <c r="P32" s="2">
        <v>51.191000000000003</v>
      </c>
      <c r="Q32" s="2">
        <v>67.042000000000002</v>
      </c>
    </row>
    <row r="33" spans="1:17" x14ac:dyDescent="0.2">
      <c r="A33" s="2" t="s">
        <v>47</v>
      </c>
      <c r="J33" s="2">
        <v>138.4</v>
      </c>
      <c r="K33" s="2">
        <v>145.1</v>
      </c>
      <c r="L33" s="2">
        <v>157.68899999999999</v>
      </c>
      <c r="M33" s="2">
        <v>171.87200000000001</v>
      </c>
      <c r="N33" s="2">
        <v>182.41900000000001</v>
      </c>
      <c r="O33" s="2">
        <v>198.911</v>
      </c>
      <c r="P33" s="2">
        <v>215.81</v>
      </c>
      <c r="Q33" s="2">
        <v>226.97</v>
      </c>
    </row>
    <row r="34" spans="1:17" x14ac:dyDescent="0.2">
      <c r="A34" s="2" t="s">
        <v>48</v>
      </c>
      <c r="J34" s="2">
        <v>94.722999999999999</v>
      </c>
      <c r="K34" s="2">
        <v>122.19799999999999</v>
      </c>
      <c r="L34" s="2">
        <v>121.913</v>
      </c>
      <c r="M34" s="2">
        <v>126.562</v>
      </c>
      <c r="N34" s="2">
        <v>173.27</v>
      </c>
      <c r="O34" s="2">
        <v>166.941</v>
      </c>
      <c r="P34" s="2">
        <v>168.61</v>
      </c>
      <c r="Q34" s="2">
        <v>172.512</v>
      </c>
    </row>
    <row r="35" spans="1:17" x14ac:dyDescent="0.2">
      <c r="A35" s="2" t="s">
        <v>49</v>
      </c>
      <c r="J35" s="2">
        <f>348.536+14.152</f>
        <v>362.68799999999999</v>
      </c>
      <c r="K35" s="2">
        <f>350.029+12.409</f>
        <v>362.43799999999999</v>
      </c>
      <c r="L35" s="2">
        <f>348.697+10.145</f>
        <v>358.84199999999998</v>
      </c>
      <c r="M35" s="2">
        <f>352.694+9.617</f>
        <v>362.31100000000004</v>
      </c>
      <c r="N35" s="2">
        <f>351.437+7.312</f>
        <v>358.74900000000002</v>
      </c>
      <c r="O35" s="2">
        <f>350.864+5.804</f>
        <v>356.66799999999995</v>
      </c>
      <c r="P35" s="2">
        <f>352.87+4.424</f>
        <v>357.29399999999998</v>
      </c>
      <c r="Q35" s="2">
        <f>360.381+3.711</f>
        <v>364.09199999999998</v>
      </c>
    </row>
    <row r="36" spans="1:17" x14ac:dyDescent="0.2">
      <c r="A36" s="2" t="s">
        <v>50</v>
      </c>
      <c r="J36" s="2">
        <v>24.305</v>
      </c>
      <c r="K36" s="2">
        <v>21.856000000000002</v>
      </c>
      <c r="L36" s="2">
        <v>22.398</v>
      </c>
      <c r="M36" s="2">
        <v>23.462</v>
      </c>
      <c r="N36" s="2">
        <v>20.297999999999998</v>
      </c>
      <c r="O36" s="2">
        <v>20.741</v>
      </c>
      <c r="P36" s="2">
        <v>20.327000000000002</v>
      </c>
      <c r="Q36" s="2">
        <v>24.077000000000002</v>
      </c>
    </row>
    <row r="37" spans="1:17" s="5" customFormat="1" x14ac:dyDescent="0.2">
      <c r="A37" s="5" t="s">
        <v>51</v>
      </c>
      <c r="J37" s="5">
        <f t="shared" ref="J37:O37" si="86">+SUM(J29:J36)</f>
        <v>3139.7440000000001</v>
      </c>
      <c r="K37" s="5">
        <f t="shared" si="86"/>
        <v>3312.1729999999998</v>
      </c>
      <c r="L37" s="5">
        <f t="shared" si="86"/>
        <v>3543.3020000000001</v>
      </c>
      <c r="M37" s="5">
        <f t="shared" si="86"/>
        <v>3936.0720000000001</v>
      </c>
      <c r="N37" s="5">
        <f t="shared" si="86"/>
        <v>4141.4659999999994</v>
      </c>
      <c r="O37" s="5">
        <f t="shared" si="86"/>
        <v>4412.3909999999996</v>
      </c>
      <c r="P37" s="5">
        <f t="shared" ref="P37:Q37" si="87">+SUM(P29:P36)</f>
        <v>4631.4709999999995</v>
      </c>
      <c r="Q37" s="5">
        <f t="shared" si="87"/>
        <v>5785.3319000000001</v>
      </c>
    </row>
    <row r="38" spans="1:17" x14ac:dyDescent="0.2">
      <c r="A38" s="2" t="s">
        <v>52</v>
      </c>
      <c r="J38" s="2">
        <v>41.597999999999999</v>
      </c>
      <c r="K38" s="2">
        <v>48.030999999999999</v>
      </c>
      <c r="L38" s="2">
        <v>85.361999999999995</v>
      </c>
      <c r="M38" s="2">
        <v>87.712000000000003</v>
      </c>
      <c r="N38" s="2">
        <v>64.316000000000003</v>
      </c>
      <c r="O38" s="2">
        <v>115.991</v>
      </c>
      <c r="P38" s="2">
        <v>92.004999999999995</v>
      </c>
      <c r="Q38" s="2">
        <v>107.73099999999999</v>
      </c>
    </row>
    <row r="39" spans="1:17" x14ac:dyDescent="0.2">
      <c r="A39" s="2" t="s">
        <v>53</v>
      </c>
      <c r="J39" s="2">
        <v>148.53</v>
      </c>
      <c r="K39" s="2">
        <v>127.009</v>
      </c>
      <c r="L39" s="2">
        <v>101.837</v>
      </c>
      <c r="M39" s="2">
        <v>127.631</v>
      </c>
      <c r="N39" s="2">
        <v>117.41200000000001</v>
      </c>
      <c r="O39" s="2">
        <v>104.791</v>
      </c>
      <c r="P39" s="2">
        <v>120.23399999999999</v>
      </c>
      <c r="Q39" s="2">
        <v>127.136</v>
      </c>
    </row>
    <row r="40" spans="1:17" x14ac:dyDescent="0.2">
      <c r="A40" s="2" t="s">
        <v>48</v>
      </c>
      <c r="J40" s="2">
        <f>20.397+86.242</f>
        <v>106.63900000000001</v>
      </c>
      <c r="K40" s="2">
        <f>18.852+125.694</f>
        <v>144.54599999999999</v>
      </c>
      <c r="L40" s="2">
        <f>18.777+127.8</f>
        <v>146.577</v>
      </c>
      <c r="M40" s="2">
        <f>21.974+138.128</f>
        <v>160.10199999999998</v>
      </c>
      <c r="N40" s="2">
        <f>23.591+190.891</f>
        <v>214.482</v>
      </c>
      <c r="O40" s="2">
        <f>24.565+193.835</f>
        <v>218.4</v>
      </c>
      <c r="P40" s="2">
        <f>27.342+197.044</f>
        <v>224.38600000000002</v>
      </c>
      <c r="Q40" s="2">
        <f>31.97+196.905</f>
        <v>228.875</v>
      </c>
    </row>
    <row r="41" spans="1:17" x14ac:dyDescent="0.2">
      <c r="A41" s="2" t="s">
        <v>39</v>
      </c>
      <c r="J41" s="2">
        <v>739.69200000000001</v>
      </c>
      <c r="K41" s="2">
        <v>740.53800000000001</v>
      </c>
      <c r="L41" s="2">
        <v>741.38599999999997</v>
      </c>
      <c r="M41" s="2">
        <v>742.23500000000001</v>
      </c>
      <c r="N41" s="2">
        <v>743.08500000000004</v>
      </c>
      <c r="O41" s="2">
        <v>743.97</v>
      </c>
      <c r="P41" s="2">
        <f>744.858+0</f>
        <v>744.85799999999995</v>
      </c>
      <c r="Q41" s="2">
        <f>634.023+979.282</f>
        <v>1613.3050000000001</v>
      </c>
    </row>
    <row r="42" spans="1:17" x14ac:dyDescent="0.2">
      <c r="A42" s="2" t="s">
        <v>54</v>
      </c>
      <c r="J42" s="2">
        <f>562.429+22.506</f>
        <v>584.93499999999995</v>
      </c>
      <c r="K42" s="2">
        <f>567.47+27.534</f>
        <v>595.00400000000002</v>
      </c>
      <c r="L42" s="2">
        <f>636.5+17.505</f>
        <v>654.005</v>
      </c>
      <c r="M42" s="2">
        <f>765.735+21.21</f>
        <v>786.94500000000005</v>
      </c>
      <c r="N42" s="2">
        <f>767.474+26.191</f>
        <v>793.66500000000008</v>
      </c>
      <c r="O42" s="2">
        <f>801.562+14.049</f>
        <v>815.61099999999999</v>
      </c>
      <c r="P42" s="2">
        <f>795.824+18.404</f>
        <v>814.22799999999995</v>
      </c>
      <c r="Q42" s="2">
        <f>961.853+22.693</f>
        <v>984.54599999999994</v>
      </c>
    </row>
    <row r="43" spans="1:17" x14ac:dyDescent="0.2">
      <c r="A43" s="2" t="s">
        <v>50</v>
      </c>
      <c r="J43" s="2">
        <v>6.2510000000000003</v>
      </c>
      <c r="K43" s="2">
        <v>7.6859999999999999</v>
      </c>
      <c r="L43" s="2">
        <v>7.6589999999999998</v>
      </c>
      <c r="M43" s="2">
        <v>6.093</v>
      </c>
      <c r="N43" s="2">
        <v>6.1509999999999998</v>
      </c>
      <c r="O43" s="2">
        <v>6.32</v>
      </c>
      <c r="P43" s="2">
        <v>6.6150000000000002</v>
      </c>
      <c r="Q43" s="2">
        <v>9.3829999999999991</v>
      </c>
    </row>
    <row r="44" spans="1:17" s="5" customFormat="1" x14ac:dyDescent="0.2">
      <c r="A44" s="5" t="s">
        <v>55</v>
      </c>
      <c r="J44" s="5">
        <f t="shared" ref="J44:O44" si="88">+SUM(J38:J43)</f>
        <v>1627.645</v>
      </c>
      <c r="K44" s="5">
        <f t="shared" si="88"/>
        <v>1662.8140000000001</v>
      </c>
      <c r="L44" s="5">
        <f t="shared" si="88"/>
        <v>1736.826</v>
      </c>
      <c r="M44" s="5">
        <f t="shared" si="88"/>
        <v>1910.7180000000001</v>
      </c>
      <c r="N44" s="5">
        <f t="shared" si="88"/>
        <v>1939.1110000000001</v>
      </c>
      <c r="O44" s="5">
        <f t="shared" si="88"/>
        <v>2005.0829999999999</v>
      </c>
      <c r="P44" s="5">
        <f t="shared" ref="P44:Q44" si="89">+SUM(P38:P43)</f>
        <v>2002.3259999999998</v>
      </c>
      <c r="Q44" s="5">
        <f t="shared" si="89"/>
        <v>3070.9759999999997</v>
      </c>
    </row>
    <row r="45" spans="1:17" x14ac:dyDescent="0.2">
      <c r="A45" s="2" t="s">
        <v>56</v>
      </c>
      <c r="J45" s="2">
        <v>2407.308</v>
      </c>
      <c r="K45" s="2">
        <v>2407.308</v>
      </c>
      <c r="L45" s="2">
        <v>2407.308</v>
      </c>
      <c r="M45" s="2">
        <v>2407.308</v>
      </c>
      <c r="N45" s="2">
        <v>2407.308</v>
      </c>
      <c r="O45" s="2">
        <v>2407.308</v>
      </c>
      <c r="P45" s="2">
        <v>2629.145</v>
      </c>
      <c r="Q45" s="2">
        <v>2629.145</v>
      </c>
    </row>
    <row r="46" spans="1:17" x14ac:dyDescent="0.2">
      <c r="A46" s="2" t="s">
        <v>57</v>
      </c>
      <c r="J46" s="2">
        <f t="shared" ref="J46:O46" si="90">+J45+J44</f>
        <v>4034.953</v>
      </c>
      <c r="K46" s="2">
        <f t="shared" si="90"/>
        <v>4070.1220000000003</v>
      </c>
      <c r="L46" s="2">
        <f t="shared" si="90"/>
        <v>4144.134</v>
      </c>
      <c r="M46" s="2">
        <f t="shared" si="90"/>
        <v>4318.0259999999998</v>
      </c>
      <c r="N46" s="2">
        <f t="shared" si="90"/>
        <v>4346.4189999999999</v>
      </c>
      <c r="O46" s="2">
        <f t="shared" si="90"/>
        <v>4412.3909999999996</v>
      </c>
      <c r="P46" s="2">
        <f t="shared" ref="P46:Q46" si="91">+P45+P44</f>
        <v>4631.4709999999995</v>
      </c>
      <c r="Q46" s="2">
        <f t="shared" si="91"/>
        <v>5700.1209999999992</v>
      </c>
    </row>
    <row r="48" spans="1:17" x14ac:dyDescent="0.2">
      <c r="A48" s="2" t="s">
        <v>59</v>
      </c>
      <c r="J48" s="2">
        <f t="shared" ref="J48:K48" si="92">+SUM(G17:J17)</f>
        <v>-79.104999999999876</v>
      </c>
      <c r="K48" s="2">
        <f t="shared" si="92"/>
        <v>-83.073999999999899</v>
      </c>
      <c r="L48" s="2">
        <f t="shared" ref="L48:Q48" si="93">+SUM(I17:L17)</f>
        <v>-34.45900000000006</v>
      </c>
      <c r="M48" s="2">
        <f t="shared" si="93"/>
        <v>48.567999999999884</v>
      </c>
      <c r="N48" s="2">
        <f t="shared" si="93"/>
        <v>115.28499999999983</v>
      </c>
      <c r="O48" s="2">
        <f t="shared" si="93"/>
        <v>163.07799999999986</v>
      </c>
      <c r="P48" s="2">
        <f t="shared" si="93"/>
        <v>192.14499999999995</v>
      </c>
      <c r="Q48" s="2">
        <f t="shared" si="93"/>
        <v>183.74600000000007</v>
      </c>
    </row>
    <row r="49" spans="1:17" s="7" customFormat="1" x14ac:dyDescent="0.2">
      <c r="A49" s="7" t="s">
        <v>58</v>
      </c>
      <c r="J49" s="7">
        <f t="shared" ref="J49" si="94">+J48/(J30+J31+J32+J33+J34+J36)</f>
        <v>-0.10419987196476119</v>
      </c>
      <c r="K49" s="7">
        <f t="shared" ref="K49" si="95">+K48/(K30+K31+K32+K33+K34+K36)</f>
        <v>-0.10868254111539773</v>
      </c>
      <c r="L49" s="7">
        <f t="shared" ref="L49:Q49" si="96">+L48/(L30+L31+L32+L33+L34+L36)</f>
        <v>-4.0887738187479233E-2</v>
      </c>
      <c r="M49" s="7">
        <f t="shared" si="96"/>
        <v>4.9015857893573468E-2</v>
      </c>
      <c r="N49" s="7">
        <f t="shared" si="96"/>
        <v>0.11512980502282906</v>
      </c>
      <c r="O49" s="7">
        <f t="shared" si="96"/>
        <v>0.14884581016906442</v>
      </c>
      <c r="P49" s="7">
        <f t="shared" si="96"/>
        <v>0.17870246451201277</v>
      </c>
      <c r="Q49" s="7">
        <f t="shared" si="96"/>
        <v>0.14912258419198032</v>
      </c>
    </row>
    <row r="51" spans="1:17" x14ac:dyDescent="0.2">
      <c r="A51" s="2" t="s">
        <v>60</v>
      </c>
      <c r="J51" s="2">
        <f t="shared" ref="J51:Q51" si="97">+J17</f>
        <v>-24.08599999999997</v>
      </c>
      <c r="K51" s="2">
        <f t="shared" si="97"/>
        <v>-3.9690000000000296</v>
      </c>
      <c r="L51" s="2">
        <f t="shared" si="97"/>
        <v>22.629999999999924</v>
      </c>
      <c r="M51" s="2">
        <f t="shared" si="97"/>
        <v>53.992999999999959</v>
      </c>
      <c r="N51" s="2">
        <f t="shared" si="97"/>
        <v>42.630999999999979</v>
      </c>
      <c r="O51" s="2">
        <f t="shared" si="97"/>
        <v>43.823999999999998</v>
      </c>
      <c r="P51" s="2">
        <f t="shared" si="97"/>
        <v>51.697000000000024</v>
      </c>
      <c r="Q51" s="2">
        <f t="shared" si="97"/>
        <v>45.594000000000051</v>
      </c>
    </row>
    <row r="52" spans="1:17" x14ac:dyDescent="0.2">
      <c r="A52" s="2" t="s">
        <v>61</v>
      </c>
      <c r="J52" s="2">
        <v>-24.085999999999999</v>
      </c>
      <c r="K52" s="2">
        <v>-3.9689999999999999</v>
      </c>
      <c r="L52" s="2">
        <v>22.63</v>
      </c>
      <c r="M52" s="2">
        <v>53.993000000000002</v>
      </c>
      <c r="N52" s="2">
        <v>42.631</v>
      </c>
      <c r="O52" s="2">
        <v>43.823999999999998</v>
      </c>
      <c r="P52" s="2">
        <v>51.697000000000003</v>
      </c>
      <c r="Q52" s="2">
        <v>45.594000000000001</v>
      </c>
    </row>
    <row r="53" spans="1:17" x14ac:dyDescent="0.2">
      <c r="A53" s="2" t="s">
        <v>62</v>
      </c>
      <c r="J53" s="2">
        <v>10.275</v>
      </c>
      <c r="K53" s="2">
        <v>10.55</v>
      </c>
      <c r="L53" s="2">
        <v>11.609</v>
      </c>
      <c r="M53" s="2">
        <v>12.031000000000001</v>
      </c>
      <c r="N53" s="2">
        <v>12.895</v>
      </c>
      <c r="O53" s="2">
        <v>12.44</v>
      </c>
      <c r="P53" s="2">
        <v>13.891999999999999</v>
      </c>
      <c r="Q53" s="2">
        <v>15.706</v>
      </c>
    </row>
    <row r="54" spans="1:17" x14ac:dyDescent="0.2">
      <c r="A54" s="2" t="s">
        <v>68</v>
      </c>
      <c r="J54" s="2">
        <v>-5.1950000000000003</v>
      </c>
      <c r="K54" s="2">
        <v>-8.0960000000000001</v>
      </c>
      <c r="L54" s="2">
        <v>-12.965</v>
      </c>
      <c r="M54" s="2">
        <v>-15.365</v>
      </c>
      <c r="N54" s="2">
        <v>-14.125999999999999</v>
      </c>
      <c r="O54" s="2">
        <v>-12.569000000000001</v>
      </c>
      <c r="P54" s="2">
        <v>-12.843999999999999</v>
      </c>
      <c r="Q54" s="2">
        <v>-12.393000000000001</v>
      </c>
    </row>
    <row r="55" spans="1:17" x14ac:dyDescent="0.2">
      <c r="A55" s="2" t="s">
        <v>67</v>
      </c>
      <c r="J55" s="2">
        <v>0.84499999999999997</v>
      </c>
      <c r="K55" s="2">
        <v>0.84599999999999997</v>
      </c>
      <c r="L55" s="2">
        <v>0.84799999999999998</v>
      </c>
      <c r="M55" s="2">
        <v>0.84899999999999998</v>
      </c>
      <c r="N55" s="2">
        <v>0.85</v>
      </c>
      <c r="O55" s="2">
        <v>0.91</v>
      </c>
      <c r="P55" s="2">
        <v>0.91200000000000003</v>
      </c>
      <c r="Q55" s="2">
        <v>1.089</v>
      </c>
    </row>
    <row r="56" spans="1:17" x14ac:dyDescent="0.2">
      <c r="A56" s="10" t="s">
        <v>80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0.59899999999999998</v>
      </c>
    </row>
    <row r="57" spans="1:17" x14ac:dyDescent="0.2">
      <c r="A57" s="2" t="s">
        <v>66</v>
      </c>
      <c r="J57" s="2">
        <v>8.6479999999999997</v>
      </c>
      <c r="K57" s="2">
        <v>9.3480000000000008</v>
      </c>
      <c r="L57" s="2">
        <v>10.227</v>
      </c>
      <c r="M57" s="2">
        <v>10.984</v>
      </c>
      <c r="N57" s="2">
        <v>11.843999999999999</v>
      </c>
      <c r="O57" s="2">
        <v>12.45</v>
      </c>
      <c r="P57" s="2">
        <v>13.474</v>
      </c>
      <c r="Q57" s="2">
        <v>14.279</v>
      </c>
    </row>
    <row r="58" spans="1:17" x14ac:dyDescent="0.2">
      <c r="A58" s="2" t="s">
        <v>65</v>
      </c>
      <c r="J58" s="2">
        <v>112.72799999999999</v>
      </c>
      <c r="K58" s="2">
        <v>118.337</v>
      </c>
      <c r="L58" s="2">
        <v>123.114</v>
      </c>
      <c r="M58" s="2">
        <v>128.12100000000001</v>
      </c>
      <c r="N58" s="2">
        <v>135.03299999999999</v>
      </c>
      <c r="O58" s="2">
        <v>134.65199999999999</v>
      </c>
      <c r="P58" s="2">
        <v>142.19</v>
      </c>
      <c r="Q58" s="2">
        <v>158.46100000000001</v>
      </c>
    </row>
    <row r="59" spans="1:17" x14ac:dyDescent="0.2">
      <c r="A59" s="2" t="s">
        <v>48</v>
      </c>
      <c r="J59" s="2">
        <v>5.944</v>
      </c>
      <c r="K59" s="2">
        <v>6.2519999999999998</v>
      </c>
      <c r="L59" s="2">
        <v>7.1360000000000001</v>
      </c>
      <c r="M59" s="2">
        <v>7.05</v>
      </c>
      <c r="N59" s="2">
        <v>6.81</v>
      </c>
      <c r="O59" s="2">
        <v>6.7809999999999997</v>
      </c>
      <c r="P59" s="2">
        <v>6.67</v>
      </c>
      <c r="Q59" s="2">
        <v>7.0019999999999998</v>
      </c>
    </row>
    <row r="60" spans="1:17" x14ac:dyDescent="0.2">
      <c r="A60" s="2" t="s">
        <v>64</v>
      </c>
      <c r="J60" s="2">
        <v>3.7320000000000002</v>
      </c>
      <c r="K60" s="2">
        <v>2.5790000000000002</v>
      </c>
      <c r="L60" s="2">
        <v>2.786</v>
      </c>
      <c r="M60" s="2">
        <v>2.8359999999999999</v>
      </c>
      <c r="N60" s="2">
        <v>2.7320000000000002</v>
      </c>
      <c r="O60" s="2">
        <v>3.8420000000000001</v>
      </c>
      <c r="P60" s="2">
        <v>3.8</v>
      </c>
      <c r="Q60" s="2">
        <v>4.4729999999999999</v>
      </c>
    </row>
    <row r="61" spans="1:17" x14ac:dyDescent="0.2">
      <c r="A61" s="2" t="s">
        <v>63</v>
      </c>
      <c r="J61" s="2">
        <v>8.7999999999999995E-2</v>
      </c>
      <c r="K61" s="2">
        <v>0.33300000000000002</v>
      </c>
      <c r="L61" s="2">
        <v>-2E-3</v>
      </c>
      <c r="M61" s="2">
        <v>0.28699999999999998</v>
      </c>
      <c r="N61" s="2">
        <v>4.2999999999999997E-2</v>
      </c>
      <c r="O61" s="2">
        <v>0.3</v>
      </c>
      <c r="P61" s="2">
        <v>8.9999999999999993E-3</v>
      </c>
      <c r="Q61" s="2">
        <v>1.3080000000000001</v>
      </c>
    </row>
    <row r="62" spans="1:17" x14ac:dyDescent="0.2">
      <c r="A62" s="2" t="s">
        <v>44</v>
      </c>
      <c r="J62" s="2">
        <v>28.773</v>
      </c>
      <c r="K62" s="2">
        <v>31.366</v>
      </c>
      <c r="L62" s="2">
        <v>-70.332999999999998</v>
      </c>
      <c r="M62" s="2">
        <v>-111.467</v>
      </c>
      <c r="N62" s="2">
        <v>55.49</v>
      </c>
      <c r="O62" s="2">
        <v>-86.075999999999993</v>
      </c>
      <c r="P62" s="2">
        <v>42.427999999999997</v>
      </c>
      <c r="Q62" s="2">
        <v>-116.327</v>
      </c>
    </row>
    <row r="63" spans="1:17" x14ac:dyDescent="0.2">
      <c r="A63" s="2" t="s">
        <v>45</v>
      </c>
      <c r="J63" s="2">
        <v>-11.75</v>
      </c>
      <c r="K63" s="2">
        <v>-15.868</v>
      </c>
      <c r="L63" s="2">
        <v>-14.994</v>
      </c>
      <c r="M63" s="2">
        <v>-26.869</v>
      </c>
      <c r="N63" s="2">
        <v>-12.635999999999999</v>
      </c>
      <c r="O63" s="2">
        <v>-19.533999999999999</v>
      </c>
      <c r="P63" s="2">
        <v>-19.152999999999999</v>
      </c>
      <c r="Q63" s="2">
        <v>-24.725000000000001</v>
      </c>
    </row>
    <row r="64" spans="1:17" x14ac:dyDescent="0.2">
      <c r="A64" s="2" t="s">
        <v>46</v>
      </c>
      <c r="J64" s="2">
        <v>-15.81</v>
      </c>
      <c r="K64" s="2">
        <v>-1.0129999999999999</v>
      </c>
      <c r="L64" s="2">
        <v>6.5090000000000003</v>
      </c>
      <c r="M64" s="2">
        <v>-3.194</v>
      </c>
      <c r="N64" s="2">
        <v>-14.074999999999999</v>
      </c>
      <c r="O64" s="2">
        <v>5.6319999999999997</v>
      </c>
      <c r="P64" s="2">
        <v>-1.63</v>
      </c>
      <c r="Q64" s="2">
        <v>-16.581</v>
      </c>
    </row>
    <row r="65" spans="1:17" x14ac:dyDescent="0.2">
      <c r="A65" s="2" t="s">
        <v>50</v>
      </c>
      <c r="J65" s="2">
        <v>0.16400000000000001</v>
      </c>
      <c r="K65" s="2">
        <v>2.077</v>
      </c>
      <c r="L65" s="2">
        <v>-0.998</v>
      </c>
      <c r="M65" s="2">
        <v>-0.22500000000000001</v>
      </c>
      <c r="N65" s="2">
        <v>2.6139999999999999</v>
      </c>
      <c r="O65" s="2">
        <v>-0.443</v>
      </c>
      <c r="P65" s="2">
        <v>1.4650000000000001</v>
      </c>
      <c r="Q65" s="2">
        <v>-4.6390000000000002</v>
      </c>
    </row>
    <row r="66" spans="1:17" x14ac:dyDescent="0.2">
      <c r="A66" s="2" t="s">
        <v>52</v>
      </c>
      <c r="J66" s="2">
        <v>18.545000000000002</v>
      </c>
      <c r="K66" s="2">
        <v>6.3520000000000003</v>
      </c>
      <c r="L66" s="2">
        <v>32.371000000000002</v>
      </c>
      <c r="M66" s="2">
        <v>0.505</v>
      </c>
      <c r="N66" s="2">
        <v>-17.122</v>
      </c>
      <c r="O66" s="2">
        <v>48.692</v>
      </c>
      <c r="P66" s="2">
        <v>-22.994</v>
      </c>
      <c r="Q66" s="2">
        <v>17.033999999999999</v>
      </c>
    </row>
    <row r="67" spans="1:17" x14ac:dyDescent="0.2">
      <c r="A67" s="2" t="s">
        <v>53</v>
      </c>
      <c r="J67" s="2">
        <v>-28.08</v>
      </c>
      <c r="K67" s="2">
        <v>-16.009</v>
      </c>
      <c r="L67" s="2">
        <v>-24.152999999999999</v>
      </c>
      <c r="M67" s="2">
        <v>27.753</v>
      </c>
      <c r="N67" s="2">
        <v>7.4329999999999998</v>
      </c>
      <c r="O67" s="2">
        <v>-8.423</v>
      </c>
      <c r="P67" s="2">
        <v>10.147</v>
      </c>
      <c r="Q67" s="2">
        <v>4.0830000000000002</v>
      </c>
    </row>
    <row r="68" spans="1:17" x14ac:dyDescent="0.2">
      <c r="A68" s="2" t="s">
        <v>54</v>
      </c>
      <c r="J68" s="2">
        <v>28.966000000000001</v>
      </c>
      <c r="K68" s="2">
        <v>10.073</v>
      </c>
      <c r="L68" s="2">
        <v>58.997999999999998</v>
      </c>
      <c r="M68" s="2">
        <v>132.93700000000001</v>
      </c>
      <c r="N68" s="2">
        <v>6.72</v>
      </c>
      <c r="O68" s="2">
        <v>21.946000000000002</v>
      </c>
      <c r="P68" s="2">
        <v>-1.3819999999999999</v>
      </c>
      <c r="Q68" s="2">
        <v>170.26499999999999</v>
      </c>
    </row>
    <row r="69" spans="1:17" s="5" customFormat="1" x14ac:dyDescent="0.2">
      <c r="A69" s="5" t="s">
        <v>69</v>
      </c>
      <c r="J69" s="5">
        <f t="shared" ref="J69:Q69" si="98">+SUM(J52:J68)</f>
        <v>133.78699999999998</v>
      </c>
      <c r="K69" s="5">
        <f t="shared" si="98"/>
        <v>153.15799999999999</v>
      </c>
      <c r="L69" s="5">
        <f t="shared" si="98"/>
        <v>152.78299999999999</v>
      </c>
      <c r="M69" s="5">
        <f t="shared" si="98"/>
        <v>220.22600000000006</v>
      </c>
      <c r="N69" s="5">
        <f t="shared" si="98"/>
        <v>227.136</v>
      </c>
      <c r="O69" s="5">
        <f t="shared" si="98"/>
        <v>164.42400000000004</v>
      </c>
      <c r="P69" s="5">
        <f t="shared" si="98"/>
        <v>228.68099999999995</v>
      </c>
      <c r="Q69" s="5">
        <f t="shared" si="98"/>
        <v>265.22800000000001</v>
      </c>
    </row>
    <row r="70" spans="1:17" s="5" customFormat="1" x14ac:dyDescent="0.2"/>
    <row r="71" spans="1:17" x14ac:dyDescent="0.2">
      <c r="A71" s="2" t="s">
        <v>70</v>
      </c>
      <c r="J71" s="2">
        <f>+-757.787+497.648</f>
        <v>-260.13900000000001</v>
      </c>
      <c r="K71" s="2">
        <f>-632.547+520.669</f>
        <v>-111.87800000000004</v>
      </c>
      <c r="L71" s="2">
        <f>-621.523+449.658</f>
        <v>-171.86500000000001</v>
      </c>
      <c r="M71" s="2">
        <f>-546.156+396.582</f>
        <v>-149.57399999999996</v>
      </c>
      <c r="N71" s="2">
        <f>-637.351+401.666</f>
        <v>-235.685</v>
      </c>
      <c r="O71" s="2">
        <f>-602.95+564.319</f>
        <v>-38.631000000000085</v>
      </c>
      <c r="P71" s="2">
        <f>-905.632+624.402</f>
        <v>-281.2299999999999</v>
      </c>
      <c r="Q71" s="2">
        <f>-507.309+428.445</f>
        <v>-78.864000000000033</v>
      </c>
    </row>
    <row r="72" spans="1:17" x14ac:dyDescent="0.2">
      <c r="A72" s="2" t="s">
        <v>71</v>
      </c>
      <c r="J72" s="2">
        <v>21.341000000000001</v>
      </c>
      <c r="K72" s="2">
        <v>15.292</v>
      </c>
      <c r="L72" s="2">
        <v>-0.24</v>
      </c>
      <c r="M72" s="2">
        <v>0.60199999999999998</v>
      </c>
      <c r="N72" s="2">
        <v>0</v>
      </c>
      <c r="O72" s="2">
        <v>8.0000000000000002E-3</v>
      </c>
      <c r="P72" s="2">
        <v>-0.04</v>
      </c>
      <c r="Q72" s="2">
        <v>0.23300000000000001</v>
      </c>
    </row>
    <row r="73" spans="1:17" x14ac:dyDescent="0.2">
      <c r="A73" s="2" t="s">
        <v>72</v>
      </c>
      <c r="J73" s="2">
        <v>-8.7390000000000008</v>
      </c>
      <c r="K73" s="2">
        <v>-2.339</v>
      </c>
      <c r="L73" s="2">
        <v>-6.1130000000000004</v>
      </c>
      <c r="M73" s="2">
        <v>-10.395</v>
      </c>
      <c r="N73" s="2">
        <v>-14.157999999999999</v>
      </c>
      <c r="O73" s="2">
        <v>-4.415</v>
      </c>
      <c r="P73" s="2">
        <v>-8.3849999999999998</v>
      </c>
      <c r="Q73" s="2">
        <v>-7.7610000000000001</v>
      </c>
    </row>
    <row r="74" spans="1:17" x14ac:dyDescent="0.2">
      <c r="A74" s="2" t="s">
        <v>73</v>
      </c>
      <c r="J74" s="2">
        <v>-8.7110000000000003</v>
      </c>
      <c r="K74" s="2">
        <v>-9.0869999999999997</v>
      </c>
      <c r="L74" s="2">
        <v>-8.4809999999999999</v>
      </c>
      <c r="M74" s="2">
        <v>-8.5410000000000004</v>
      </c>
      <c r="N74" s="2">
        <v>-11.365</v>
      </c>
      <c r="O74" s="2">
        <v>-16.228999999999999</v>
      </c>
      <c r="P74" s="2">
        <v>-16.692</v>
      </c>
      <c r="Q74" s="2">
        <v>-16.495000000000001</v>
      </c>
    </row>
    <row r="75" spans="1:17" x14ac:dyDescent="0.2">
      <c r="A75" s="2" t="s">
        <v>74</v>
      </c>
      <c r="J75" s="2">
        <v>0</v>
      </c>
      <c r="K75" s="2">
        <v>-2.0249999999999999</v>
      </c>
      <c r="L75" s="2">
        <v>-4.3440000000000003</v>
      </c>
      <c r="M75" s="2">
        <v>-6.1289999999999996</v>
      </c>
      <c r="N75" s="2">
        <v>0</v>
      </c>
      <c r="O75" s="2">
        <v>-0.44400000000000001</v>
      </c>
      <c r="P75" s="2">
        <v>-0.21</v>
      </c>
      <c r="Q75" s="2">
        <v>-6.4770000000000003</v>
      </c>
    </row>
    <row r="76" spans="1:17" x14ac:dyDescent="0.2">
      <c r="A76" s="2" t="s">
        <v>75</v>
      </c>
      <c r="J76" s="2">
        <f t="shared" ref="J76:Q76" si="99">+SUM(J71:J75)</f>
        <v>-256.24799999999999</v>
      </c>
      <c r="K76" s="2">
        <f t="shared" si="99"/>
        <v>-110.03700000000005</v>
      </c>
      <c r="L76" s="2">
        <f t="shared" si="99"/>
        <v>-191.04300000000001</v>
      </c>
      <c r="M76" s="2">
        <f t="shared" si="99"/>
        <v>-174.03699999999995</v>
      </c>
      <c r="N76" s="2">
        <f t="shared" si="99"/>
        <v>-261.20799999999997</v>
      </c>
      <c r="O76" s="2">
        <f t="shared" si="99"/>
        <v>-59.711000000000084</v>
      </c>
      <c r="P76" s="2">
        <f t="shared" si="99"/>
        <v>-306.5569999999999</v>
      </c>
      <c r="Q76" s="2">
        <f t="shared" si="99"/>
        <v>-109.36400000000003</v>
      </c>
    </row>
    <row r="78" spans="1:17" x14ac:dyDescent="0.2">
      <c r="A78" s="2" t="s">
        <v>76</v>
      </c>
      <c r="J78" s="2">
        <v>2.0979999999999999</v>
      </c>
      <c r="K78" s="2">
        <v>5.4359999999999999</v>
      </c>
      <c r="L78" s="2">
        <v>9.8699999999999992</v>
      </c>
      <c r="M78" s="2">
        <v>3.5049999999999999</v>
      </c>
      <c r="N78" s="2">
        <v>2.1909999999999998</v>
      </c>
      <c r="O78" s="2">
        <v>1.7529999999999999</v>
      </c>
      <c r="P78" s="2">
        <v>1.2569999999999999</v>
      </c>
      <c r="Q78" s="2">
        <v>2.2429999999999999</v>
      </c>
    </row>
    <row r="79" spans="1:17" x14ac:dyDescent="0.2">
      <c r="A79" s="10" t="s">
        <v>81</v>
      </c>
      <c r="K79" s="2">
        <v>19.986000000000001</v>
      </c>
      <c r="L79" s="2">
        <v>0</v>
      </c>
      <c r="M79" s="2">
        <v>17.384</v>
      </c>
      <c r="N79" s="2">
        <v>0</v>
      </c>
      <c r="O79" s="2">
        <v>22.507000000000001</v>
      </c>
      <c r="P79" s="2">
        <v>0</v>
      </c>
      <c r="Q79" s="2">
        <v>21.178999999999998</v>
      </c>
    </row>
    <row r="80" spans="1:17" x14ac:dyDescent="0.2">
      <c r="A80" s="10" t="s">
        <v>39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-2.5000000000000001E-2</v>
      </c>
      <c r="P80" s="2">
        <v>-2.4E-2</v>
      </c>
      <c r="Q80" s="2">
        <f>978.881+54.725-100.9-196.704</f>
        <v>736.00199999999995</v>
      </c>
    </row>
    <row r="81" spans="1:17" x14ac:dyDescent="0.2">
      <c r="A81" s="2" t="s">
        <v>77</v>
      </c>
      <c r="J81" s="2">
        <f t="shared" ref="J81:Q81" si="100">+SUM(J78:J80)</f>
        <v>2.0979999999999999</v>
      </c>
      <c r="K81" s="2">
        <f t="shared" si="100"/>
        <v>25.422000000000001</v>
      </c>
      <c r="L81" s="2">
        <f t="shared" si="100"/>
        <v>9.8699999999999992</v>
      </c>
      <c r="M81" s="2">
        <f t="shared" si="100"/>
        <v>20.888999999999999</v>
      </c>
      <c r="N81" s="2">
        <f t="shared" si="100"/>
        <v>2.1909999999999998</v>
      </c>
      <c r="O81" s="2">
        <f t="shared" si="100"/>
        <v>24.235000000000003</v>
      </c>
      <c r="P81" s="2">
        <f t="shared" si="100"/>
        <v>1.2329999999999999</v>
      </c>
      <c r="Q81" s="2">
        <f t="shared" si="100"/>
        <v>759.42399999999998</v>
      </c>
    </row>
    <row r="83" spans="1:17" x14ac:dyDescent="0.2">
      <c r="A83" s="2" t="s">
        <v>78</v>
      </c>
      <c r="J83" s="2">
        <v>0.623</v>
      </c>
      <c r="K83" s="2">
        <v>0.21299999999999999</v>
      </c>
      <c r="L83" s="2">
        <v>-1.605</v>
      </c>
      <c r="M83" s="2">
        <v>1.952</v>
      </c>
      <c r="N83" s="2">
        <v>-1.3740000000000001</v>
      </c>
      <c r="O83" s="2">
        <v>-0.20300000000000001</v>
      </c>
      <c r="P83" s="2">
        <v>3.0979999999999999</v>
      </c>
      <c r="Q83" s="2">
        <v>-5.7229999999999999</v>
      </c>
    </row>
    <row r="84" spans="1:17" x14ac:dyDescent="0.2">
      <c r="A84" s="2" t="s">
        <v>79</v>
      </c>
      <c r="J84" s="2">
        <f t="shared" ref="J84:Q84" si="101">+J69+J76+J81+J83</f>
        <v>-119.74000000000001</v>
      </c>
      <c r="K84" s="2">
        <f t="shared" si="101"/>
        <v>68.755999999999929</v>
      </c>
      <c r="L84" s="2">
        <f t="shared" si="101"/>
        <v>-29.995000000000022</v>
      </c>
      <c r="M84" s="2">
        <f t="shared" si="101"/>
        <v>69.030000000000101</v>
      </c>
      <c r="N84" s="2">
        <f t="shared" si="101"/>
        <v>-33.254999999999974</v>
      </c>
      <c r="O84" s="2">
        <f t="shared" si="101"/>
        <v>128.74499999999995</v>
      </c>
      <c r="P84" s="2">
        <f t="shared" si="101"/>
        <v>-73.544999999999945</v>
      </c>
      <c r="Q84" s="2">
        <f t="shared" si="101"/>
        <v>909.56500000000005</v>
      </c>
    </row>
    <row r="85" spans="1:17" s="5" customFormat="1" x14ac:dyDescent="0.2">
      <c r="A85" s="5" t="s">
        <v>82</v>
      </c>
      <c r="J85" s="5">
        <f t="shared" ref="J85:Q85" si="102">+J69+J73</f>
        <v>125.04799999999997</v>
      </c>
      <c r="K85" s="5">
        <f t="shared" si="102"/>
        <v>150.81899999999999</v>
      </c>
      <c r="L85" s="5">
        <f t="shared" si="102"/>
        <v>146.66999999999999</v>
      </c>
      <c r="M85" s="5">
        <f t="shared" si="102"/>
        <v>209.83100000000005</v>
      </c>
      <c r="N85" s="5">
        <f t="shared" si="102"/>
        <v>212.97800000000001</v>
      </c>
      <c r="O85" s="5">
        <f t="shared" si="102"/>
        <v>160.00900000000004</v>
      </c>
      <c r="P85" s="5">
        <f t="shared" si="102"/>
        <v>220.29599999999996</v>
      </c>
      <c r="Q85" s="5">
        <f t="shared" si="102"/>
        <v>257.46699999999998</v>
      </c>
    </row>
    <row r="87" spans="1:17" s="7" customForma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2024-10-31T19:41:45Z</dcterms:created>
  <dcterms:modified xsi:type="dcterms:W3CDTF">2025-03-17T14:03:50Z</dcterms:modified>
</cp:coreProperties>
</file>