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CompanyResearchModels\Modehuizen\"/>
    </mc:Choice>
  </mc:AlternateContent>
  <xr:revisionPtr revIDLastSave="0" documentId="13_ncr:1_{97E472DA-0984-4EBA-A98C-9E6A91973DBE}" xr6:coauthVersionLast="47" xr6:coauthVersionMax="47" xr10:uidLastSave="{00000000-0000-0000-0000-000000000000}"/>
  <bookViews>
    <workbookView xWindow="33465" yWindow="60" windowWidth="13620" windowHeight="15495" xr2:uid="{31098A3F-202F-491E-B788-18044EC44ADE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D32" i="1"/>
  <c r="G32" i="1"/>
  <c r="H32" i="1"/>
  <c r="J32" i="1"/>
  <c r="K32" i="1"/>
  <c r="O30" i="1"/>
  <c r="P30" i="1"/>
  <c r="G30" i="1"/>
  <c r="F30" i="1"/>
  <c r="I6" i="1"/>
  <c r="E6" i="1"/>
  <c r="E20" i="1"/>
  <c r="E19" i="1"/>
  <c r="E17" i="1"/>
  <c r="E15" i="1"/>
  <c r="E14" i="1"/>
  <c r="E13" i="1"/>
  <c r="E12" i="1"/>
  <c r="E11" i="1"/>
  <c r="E9" i="1"/>
  <c r="E8" i="1"/>
  <c r="E7" i="1"/>
  <c r="E5" i="1"/>
  <c r="E4" i="1"/>
  <c r="C10" i="1"/>
  <c r="C6" i="1"/>
  <c r="B10" i="1"/>
  <c r="B6" i="1"/>
  <c r="B25" i="1" s="1"/>
  <c r="I20" i="1"/>
  <c r="I19" i="1"/>
  <c r="I17" i="1"/>
  <c r="I15" i="1"/>
  <c r="I14" i="1"/>
  <c r="I13" i="1"/>
  <c r="I12" i="1"/>
  <c r="I9" i="1"/>
  <c r="I8" i="1"/>
  <c r="I7" i="1"/>
  <c r="I5" i="1"/>
  <c r="I4" i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C4" i="2"/>
  <c r="C6" i="2"/>
  <c r="N9" i="1"/>
  <c r="N10" i="1" s="1"/>
  <c r="N6" i="1"/>
  <c r="N25" i="1" s="1"/>
  <c r="O10" i="1"/>
  <c r="O6" i="1"/>
  <c r="O25" i="1" s="1"/>
  <c r="P10" i="1"/>
  <c r="P6" i="1"/>
  <c r="P25" i="1" s="1"/>
  <c r="K30" i="1"/>
  <c r="G45" i="1"/>
  <c r="G43" i="1"/>
  <c r="G39" i="1"/>
  <c r="G41" i="1" s="1"/>
  <c r="G10" i="1"/>
  <c r="G6" i="1"/>
  <c r="G25" i="1" s="1"/>
  <c r="K45" i="1"/>
  <c r="K43" i="1"/>
  <c r="K48" i="1" s="1"/>
  <c r="K51" i="1" s="1"/>
  <c r="K39" i="1"/>
  <c r="K41" i="1" s="1"/>
  <c r="K10" i="1"/>
  <c r="K6" i="1"/>
  <c r="J45" i="1"/>
  <c r="J43" i="1"/>
  <c r="J39" i="1"/>
  <c r="J41" i="1" s="1"/>
  <c r="J30" i="1"/>
  <c r="J10" i="1"/>
  <c r="J6" i="1"/>
  <c r="F45" i="1"/>
  <c r="F43" i="1"/>
  <c r="F39" i="1"/>
  <c r="F41" i="1" s="1"/>
  <c r="F10" i="1"/>
  <c r="F6" i="1"/>
  <c r="D45" i="1"/>
  <c r="D43" i="1"/>
  <c r="D39" i="1"/>
  <c r="D41" i="1" s="1"/>
  <c r="H45" i="1"/>
  <c r="H30" i="1"/>
  <c r="D10" i="1"/>
  <c r="D6" i="1"/>
  <c r="D25" i="1" s="1"/>
  <c r="H43" i="1"/>
  <c r="H39" i="1"/>
  <c r="H41" i="1" s="1"/>
  <c r="H10" i="1"/>
  <c r="H6" i="1"/>
  <c r="E10" i="1" l="1"/>
  <c r="E25" i="1"/>
  <c r="I30" i="1"/>
  <c r="C11" i="1"/>
  <c r="C16" i="1" s="1"/>
  <c r="C25" i="1"/>
  <c r="B11" i="1"/>
  <c r="F48" i="1"/>
  <c r="F51" i="1" s="1"/>
  <c r="I10" i="1"/>
  <c r="G48" i="1"/>
  <c r="G51" i="1" s="1"/>
  <c r="H48" i="1"/>
  <c r="H51" i="1" s="1"/>
  <c r="H11" i="1"/>
  <c r="H16" i="1" s="1"/>
  <c r="C7" i="2"/>
  <c r="N11" i="1"/>
  <c r="P11" i="1"/>
  <c r="P16" i="1" s="1"/>
  <c r="G11" i="1"/>
  <c r="O11" i="1"/>
  <c r="O16" i="1" s="1"/>
  <c r="K11" i="1"/>
  <c r="K16" i="1" s="1"/>
  <c r="K25" i="1"/>
  <c r="J48" i="1"/>
  <c r="J51" i="1" s="1"/>
  <c r="J11" i="1"/>
  <c r="J16" i="1" s="1"/>
  <c r="J25" i="1"/>
  <c r="F11" i="1"/>
  <c r="F25" i="1"/>
  <c r="D48" i="1"/>
  <c r="D51" i="1" s="1"/>
  <c r="D11" i="1"/>
  <c r="D16" i="1" s="1"/>
  <c r="H25" i="1"/>
  <c r="E16" i="1" l="1"/>
  <c r="E26" i="1"/>
  <c r="C26" i="1"/>
  <c r="C28" i="1"/>
  <c r="C18" i="1"/>
  <c r="B16" i="1"/>
  <c r="B26" i="1"/>
  <c r="K26" i="1"/>
  <c r="D26" i="1"/>
  <c r="I25" i="1"/>
  <c r="I11" i="1"/>
  <c r="G16" i="1"/>
  <c r="G18" i="1" s="1"/>
  <c r="F26" i="1"/>
  <c r="F16" i="1"/>
  <c r="F18" i="1" s="1"/>
  <c r="H26" i="1"/>
  <c r="N26" i="1"/>
  <c r="N16" i="1"/>
  <c r="G26" i="1"/>
  <c r="J26" i="1"/>
  <c r="P26" i="1"/>
  <c r="O26" i="1"/>
  <c r="K28" i="1"/>
  <c r="K18" i="1"/>
  <c r="J18" i="1"/>
  <c r="J28" i="1"/>
  <c r="D28" i="1"/>
  <c r="D18" i="1"/>
  <c r="H18" i="1"/>
  <c r="H28" i="1"/>
  <c r="E18" i="1" l="1"/>
  <c r="E28" i="1"/>
  <c r="C27" i="1"/>
  <c r="C21" i="1"/>
  <c r="C23" i="1"/>
  <c r="B28" i="1"/>
  <c r="B18" i="1"/>
  <c r="G23" i="1"/>
  <c r="G27" i="1"/>
  <c r="G28" i="1"/>
  <c r="I26" i="1"/>
  <c r="I16" i="1"/>
  <c r="N28" i="1"/>
  <c r="N18" i="1"/>
  <c r="G21" i="1"/>
  <c r="P28" i="1"/>
  <c r="P18" i="1"/>
  <c r="O28" i="1"/>
  <c r="O18" i="1"/>
  <c r="K27" i="1"/>
  <c r="K21" i="1"/>
  <c r="K23" i="1"/>
  <c r="J23" i="1"/>
  <c r="J21" i="1"/>
  <c r="J27" i="1"/>
  <c r="F28" i="1"/>
  <c r="F21" i="1"/>
  <c r="F27" i="1"/>
  <c r="F23" i="1"/>
  <c r="D21" i="1"/>
  <c r="D23" i="1"/>
  <c r="D27" i="1"/>
  <c r="H23" i="1"/>
  <c r="H21" i="1"/>
  <c r="H27" i="1"/>
  <c r="E27" i="1" l="1"/>
  <c r="E23" i="1"/>
  <c r="E21" i="1"/>
  <c r="B21" i="1"/>
  <c r="B27" i="1"/>
  <c r="B23" i="1"/>
  <c r="I18" i="1"/>
  <c r="I28" i="1"/>
  <c r="N27" i="1"/>
  <c r="N23" i="1"/>
  <c r="N21" i="1"/>
  <c r="P27" i="1"/>
  <c r="P23" i="1"/>
  <c r="P21" i="1"/>
  <c r="O27" i="1"/>
  <c r="O23" i="1"/>
  <c r="O21" i="1"/>
  <c r="I27" i="1" l="1"/>
  <c r="I23" i="1"/>
  <c r="I21" i="1"/>
</calcChain>
</file>

<file path=xl/sharedStrings.xml><?xml version="1.0" encoding="utf-8"?>
<sst xmlns="http://schemas.openxmlformats.org/spreadsheetml/2006/main" count="110" uniqueCount="102">
  <si>
    <t>Cash</t>
  </si>
  <si>
    <t>Debt</t>
  </si>
  <si>
    <t>Estee Lauder</t>
  </si>
  <si>
    <t>Q423</t>
  </si>
  <si>
    <t>Q122</t>
  </si>
  <si>
    <t>Q222</t>
  </si>
  <si>
    <t>Q322</t>
  </si>
  <si>
    <t>Q422</t>
  </si>
  <si>
    <t>Q123</t>
  </si>
  <si>
    <t>Q223</t>
  </si>
  <si>
    <t>Q323</t>
  </si>
  <si>
    <t>Revenu</t>
  </si>
  <si>
    <t>COGS</t>
  </si>
  <si>
    <t>SG&amp;A</t>
  </si>
  <si>
    <t>Operating Expenses</t>
  </si>
  <si>
    <t>Operating Profit</t>
  </si>
  <si>
    <t>Interest Income</t>
  </si>
  <si>
    <t>Pretax Income</t>
  </si>
  <si>
    <t>Taxes</t>
  </si>
  <si>
    <t>Net Income</t>
  </si>
  <si>
    <t>Shares</t>
  </si>
  <si>
    <t>EPS</t>
  </si>
  <si>
    <t>Gross Margin %</t>
  </si>
  <si>
    <t>Operating Margin %</t>
  </si>
  <si>
    <t>Net Margin %</t>
  </si>
  <si>
    <t>Tax Rate</t>
  </si>
  <si>
    <t>A/R</t>
  </si>
  <si>
    <t>Inventories</t>
  </si>
  <si>
    <t>PP&amp;E</t>
  </si>
  <si>
    <t>Assets</t>
  </si>
  <si>
    <t>A/P</t>
  </si>
  <si>
    <t>Liabilities</t>
  </si>
  <si>
    <t>S/E</t>
  </si>
  <si>
    <t>L+S/E</t>
  </si>
  <si>
    <t>R&amp;C</t>
  </si>
  <si>
    <t>Intrest expense</t>
  </si>
  <si>
    <t>Net periodic cost</t>
  </si>
  <si>
    <t>Net earnings Estee Lauder</t>
  </si>
  <si>
    <t>Operating lease rights</t>
  </si>
  <si>
    <t>Accrued Liabilities</t>
  </si>
  <si>
    <t>Operating lease</t>
  </si>
  <si>
    <t>ONL</t>
  </si>
  <si>
    <t>Goodwill/Intangible</t>
  </si>
  <si>
    <t>Goodwill/Intangibles</t>
  </si>
  <si>
    <t>NNI</t>
  </si>
  <si>
    <t>NRNI</t>
  </si>
  <si>
    <t>Redeemable non Interest</t>
  </si>
  <si>
    <t>June 30,</t>
  </si>
  <si>
    <t>OI</t>
  </si>
  <si>
    <t>Price</t>
  </si>
  <si>
    <t>MC</t>
  </si>
  <si>
    <t>EV</t>
  </si>
  <si>
    <t>Johnson &amp; Johnson</t>
  </si>
  <si>
    <t>LVMH</t>
  </si>
  <si>
    <t>Unilever</t>
  </si>
  <si>
    <t>Loreal</t>
  </si>
  <si>
    <t>Henkel</t>
  </si>
  <si>
    <t>Chanel</t>
  </si>
  <si>
    <t>Kao</t>
  </si>
  <si>
    <t>Beiersdorf AG</t>
  </si>
  <si>
    <t>Competitors</t>
  </si>
  <si>
    <t>Natura &amp; Co</t>
  </si>
  <si>
    <t>Shiseido</t>
  </si>
  <si>
    <t>LG</t>
  </si>
  <si>
    <t>Puig</t>
  </si>
  <si>
    <t>Amorepacific</t>
  </si>
  <si>
    <t>Mary Kay Inc.</t>
  </si>
  <si>
    <t>L'occtaine</t>
  </si>
  <si>
    <t>Ticker</t>
  </si>
  <si>
    <t>NYSE:PG</t>
  </si>
  <si>
    <t>NYSE:CL</t>
  </si>
  <si>
    <t>NYSE:BBWI</t>
  </si>
  <si>
    <t>NYSE:COTY</t>
  </si>
  <si>
    <t>The Procter &amp; Gamble Company</t>
  </si>
  <si>
    <t>Colgate-Palmolive Company</t>
  </si>
  <si>
    <t>Bath &amp; Body Works, Inc.</t>
  </si>
  <si>
    <t>Coty Inc.</t>
  </si>
  <si>
    <t>HKG:0973</t>
  </si>
  <si>
    <t>Private</t>
  </si>
  <si>
    <t>KRX:090430</t>
  </si>
  <si>
    <t>LON:PUIG</t>
  </si>
  <si>
    <t>KRX:051900</t>
  </si>
  <si>
    <t>TYO:4911</t>
  </si>
  <si>
    <t>BVMF:NTCO3</t>
  </si>
  <si>
    <t>ETR:BEI</t>
  </si>
  <si>
    <t>TYO:4452</t>
  </si>
  <si>
    <t>ETR:HEN3</t>
  </si>
  <si>
    <t>EPA:OR</t>
  </si>
  <si>
    <t>UNA:AMS</t>
  </si>
  <si>
    <t>EPA:MC</t>
  </si>
  <si>
    <t>NYSE:JNJ</t>
  </si>
  <si>
    <t>Annual</t>
  </si>
  <si>
    <t>Q421</t>
  </si>
  <si>
    <t>Q321</t>
  </si>
  <si>
    <t>OCA</t>
  </si>
  <si>
    <t>ONCA</t>
  </si>
  <si>
    <t>Gross margin</t>
  </si>
  <si>
    <t>10/30/21</t>
  </si>
  <si>
    <t>Revenue y/y</t>
  </si>
  <si>
    <t>(EL)</t>
  </si>
  <si>
    <t>(in millions)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</si>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</sst>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_ ;\-0\ "/>
    <numFmt numFmtId="165" formatCode="0\x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4" fillId="0" borderId="0" xfId="0" applyFont="1"/>
    <xf numFmtId="3" fontId="4" fillId="0" borderId="0" xfId="1" applyNumberFormat="1" applyFont="1"/>
    <xf numFmtId="43" fontId="4" fillId="0" borderId="0" xfId="1" applyFont="1"/>
    <xf numFmtId="3" fontId="4" fillId="0" borderId="0" xfId="0" applyNumberFormat="1" applyFont="1"/>
    <xf numFmtId="3" fontId="2" fillId="0" borderId="0" xfId="1" applyNumberFormat="1" applyFont="1"/>
    <xf numFmtId="43" fontId="2" fillId="0" borderId="0" xfId="1" applyFont="1"/>
    <xf numFmtId="3" fontId="2" fillId="0" borderId="0" xfId="0" applyNumberFormat="1" applyFont="1"/>
    <xf numFmtId="2" fontId="2" fillId="0" borderId="0" xfId="0" applyNumberFormat="1" applyFont="1"/>
    <xf numFmtId="2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0" xfId="1" applyNumberFormat="1" applyFont="1" applyAlignment="1">
      <alignment horizontal="right"/>
    </xf>
    <xf numFmtId="9" fontId="4" fillId="0" borderId="0" xfId="2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1" fillId="0" borderId="0" xfId="0" applyFont="1"/>
    <xf numFmtId="3" fontId="1" fillId="0" borderId="0" xfId="0" applyNumberFormat="1" applyFont="1"/>
    <xf numFmtId="165" fontId="1" fillId="0" borderId="0" xfId="0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B4D3-7BCC-411A-BA27-99C3AE0D5364}">
  <dimension ref="A1:K21"/>
  <sheetViews>
    <sheetView tabSelected="1" workbookViewId="0">
      <selection activeCell="C3" sqref="C3"/>
    </sheetView>
  </sheetViews>
  <sheetFormatPr defaultRowHeight="12.75" x14ac:dyDescent="0.2"/>
  <cols>
    <col min="1" max="1" width="29.7109375" style="23" bestFit="1" customWidth="1"/>
    <col min="2" max="2" width="9.140625" style="23"/>
    <col min="3" max="3" width="13.85546875" style="23" bestFit="1" customWidth="1"/>
    <col min="4" max="9" width="9.140625" style="23"/>
    <col min="10" max="10" width="39.28515625" style="23" bestFit="1" customWidth="1"/>
    <col min="11" max="11" width="12.7109375" style="23" bestFit="1" customWidth="1"/>
    <col min="12" max="16384" width="9.140625" style="23"/>
  </cols>
  <sheetData>
    <row r="1" spans="1:11" ht="34.5" x14ac:dyDescent="0.45">
      <c r="A1" s="1" t="s">
        <v>2</v>
      </c>
    </row>
    <row r="2" spans="1:11" x14ac:dyDescent="0.2">
      <c r="B2" s="23" t="s">
        <v>49</v>
      </c>
      <c r="C2" s="23">
        <v>140</v>
      </c>
      <c r="J2" s="5" t="s">
        <v>60</v>
      </c>
      <c r="K2" s="5" t="s">
        <v>68</v>
      </c>
    </row>
    <row r="3" spans="1:11" x14ac:dyDescent="0.2">
      <c r="B3" s="23" t="s">
        <v>20</v>
      </c>
      <c r="C3" s="24">
        <v>360</v>
      </c>
      <c r="J3" s="23" t="s">
        <v>52</v>
      </c>
      <c r="K3" s="23" t="s">
        <v>90</v>
      </c>
    </row>
    <row r="4" spans="1:11" x14ac:dyDescent="0.2">
      <c r="B4" s="23" t="s">
        <v>50</v>
      </c>
      <c r="C4" s="24">
        <f>+C2*C3</f>
        <v>50400</v>
      </c>
      <c r="J4" s="23" t="s">
        <v>53</v>
      </c>
      <c r="K4" s="23" t="s">
        <v>89</v>
      </c>
    </row>
    <row r="5" spans="1:11" x14ac:dyDescent="0.2">
      <c r="B5" s="23" t="s">
        <v>0</v>
      </c>
      <c r="C5" s="24">
        <v>3939</v>
      </c>
      <c r="J5" s="23" t="s">
        <v>73</v>
      </c>
      <c r="K5" s="23" t="s">
        <v>69</v>
      </c>
    </row>
    <row r="6" spans="1:11" x14ac:dyDescent="0.2">
      <c r="B6" s="23" t="s">
        <v>1</v>
      </c>
      <c r="C6" s="24">
        <f>1500+6640</f>
        <v>8140</v>
      </c>
      <c r="J6" s="23" t="s">
        <v>54</v>
      </c>
      <c r="K6" s="23" t="s">
        <v>88</v>
      </c>
    </row>
    <row r="7" spans="1:11" x14ac:dyDescent="0.2">
      <c r="B7" s="23" t="s">
        <v>51</v>
      </c>
      <c r="C7" s="24">
        <f>+C4-C5+C6</f>
        <v>54601</v>
      </c>
      <c r="J7" s="23" t="s">
        <v>55</v>
      </c>
      <c r="K7" s="23" t="s">
        <v>87</v>
      </c>
    </row>
    <row r="8" spans="1:11" x14ac:dyDescent="0.2">
      <c r="J8" s="23" t="s">
        <v>56</v>
      </c>
      <c r="K8" s="23" t="s">
        <v>86</v>
      </c>
    </row>
    <row r="9" spans="1:11" x14ac:dyDescent="0.2">
      <c r="C9" s="25"/>
      <c r="J9" s="23" t="s">
        <v>74</v>
      </c>
      <c r="K9" s="23" t="s">
        <v>70</v>
      </c>
    </row>
    <row r="10" spans="1:11" x14ac:dyDescent="0.2">
      <c r="J10" s="23" t="s">
        <v>57</v>
      </c>
      <c r="K10" s="23" t="s">
        <v>78</v>
      </c>
    </row>
    <row r="11" spans="1:11" x14ac:dyDescent="0.2">
      <c r="J11" s="23" t="s">
        <v>58</v>
      </c>
      <c r="K11" s="23" t="s">
        <v>85</v>
      </c>
    </row>
    <row r="12" spans="1:11" x14ac:dyDescent="0.2">
      <c r="J12" s="23" t="s">
        <v>59</v>
      </c>
      <c r="K12" s="23" t="s">
        <v>84</v>
      </c>
    </row>
    <row r="13" spans="1:11" x14ac:dyDescent="0.2">
      <c r="J13" s="23" t="s">
        <v>75</v>
      </c>
      <c r="K13" s="23" t="s">
        <v>71</v>
      </c>
    </row>
    <row r="14" spans="1:11" x14ac:dyDescent="0.2">
      <c r="J14" s="23" t="s">
        <v>61</v>
      </c>
      <c r="K14" s="23" t="s">
        <v>83</v>
      </c>
    </row>
    <row r="15" spans="1:11" x14ac:dyDescent="0.2">
      <c r="J15" s="23" t="s">
        <v>62</v>
      </c>
      <c r="K15" s="23" t="s">
        <v>82</v>
      </c>
    </row>
    <row r="16" spans="1:11" x14ac:dyDescent="0.2">
      <c r="J16" s="23" t="s">
        <v>63</v>
      </c>
      <c r="K16" s="23" t="s">
        <v>81</v>
      </c>
    </row>
    <row r="17" spans="10:11" x14ac:dyDescent="0.2">
      <c r="J17" s="23" t="s">
        <v>76</v>
      </c>
      <c r="K17" s="23" t="s">
        <v>72</v>
      </c>
    </row>
    <row r="18" spans="10:11" x14ac:dyDescent="0.2">
      <c r="J18" s="23" t="s">
        <v>64</v>
      </c>
      <c r="K18" s="23" t="s">
        <v>80</v>
      </c>
    </row>
    <row r="19" spans="10:11" x14ac:dyDescent="0.2">
      <c r="J19" s="23" t="s">
        <v>65</v>
      </c>
      <c r="K19" s="23" t="s">
        <v>79</v>
      </c>
    </row>
    <row r="20" spans="10:11" x14ac:dyDescent="0.2">
      <c r="J20" s="23" t="s">
        <v>66</v>
      </c>
      <c r="K20" s="23" t="s">
        <v>78</v>
      </c>
    </row>
    <row r="21" spans="10:11" x14ac:dyDescent="0.2">
      <c r="J21" s="23" t="s">
        <v>67</v>
      </c>
      <c r="K21" s="23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B9BD-4333-493D-9606-EEEB08AB49AF}">
  <dimension ref="A1:AB70"/>
  <sheetViews>
    <sheetView zoomScaleNormal="100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P18" sqref="P18"/>
    </sheetView>
  </sheetViews>
  <sheetFormatPr defaultRowHeight="12.75" x14ac:dyDescent="0.2"/>
  <cols>
    <col min="1" max="1" width="34" style="2" bestFit="1" customWidth="1"/>
    <col min="2" max="2" width="10.85546875" style="2" customWidth="1"/>
    <col min="3" max="4" width="10.140625" style="2" bestFit="1" customWidth="1"/>
    <col min="5" max="6" width="10.140625" style="4" bestFit="1" customWidth="1"/>
    <col min="7" max="7" width="11.28515625" style="4" customWidth="1"/>
    <col min="8" max="9" width="10.140625" style="4" bestFit="1" customWidth="1"/>
    <col min="10" max="10" width="9.85546875" style="4" customWidth="1"/>
    <col min="11" max="11" width="10.140625" style="4" bestFit="1" customWidth="1"/>
    <col min="12" max="12" width="18.28515625" style="4" customWidth="1"/>
    <col min="13" max="14" width="9.140625" style="2"/>
    <col min="15" max="15" width="9.7109375" style="2" customWidth="1"/>
    <col min="16" max="16" width="9.140625" style="2"/>
    <col min="17" max="17" width="10.5703125" style="2" customWidth="1"/>
    <col min="18" max="18" width="10" style="2" customWidth="1"/>
    <col min="19" max="20" width="9.140625" style="2"/>
    <col min="21" max="21" width="9.5703125" style="2" customWidth="1"/>
    <col min="22" max="16384" width="9.140625" style="2"/>
  </cols>
  <sheetData>
    <row r="1" spans="1:28" ht="34.5" x14ac:dyDescent="0.45">
      <c r="A1" s="1" t="s">
        <v>2</v>
      </c>
      <c r="E1" s="3" t="s">
        <v>91</v>
      </c>
      <c r="I1" s="3" t="s">
        <v>91</v>
      </c>
    </row>
    <row r="2" spans="1:28" s="17" customFormat="1" x14ac:dyDescent="0.2">
      <c r="A2" s="20" t="s">
        <v>99</v>
      </c>
      <c r="B2" s="18" t="s">
        <v>97</v>
      </c>
      <c r="C2" s="18">
        <v>44561</v>
      </c>
      <c r="D2" s="18">
        <v>44651</v>
      </c>
      <c r="E2" s="18">
        <v>44772</v>
      </c>
      <c r="F2" s="18">
        <v>44834</v>
      </c>
      <c r="G2" s="18">
        <v>44926</v>
      </c>
      <c r="H2" s="18">
        <v>45016</v>
      </c>
      <c r="I2" s="18">
        <v>45137</v>
      </c>
      <c r="J2" s="18">
        <v>45199</v>
      </c>
      <c r="K2" s="18">
        <v>45291</v>
      </c>
      <c r="L2" s="18"/>
      <c r="N2" s="18" t="s">
        <v>47</v>
      </c>
      <c r="O2" s="18" t="s">
        <v>47</v>
      </c>
      <c r="P2" s="18" t="s">
        <v>47</v>
      </c>
    </row>
    <row r="3" spans="1:28" s="15" customFormat="1" x14ac:dyDescent="0.2">
      <c r="A3" s="21" t="s">
        <v>100</v>
      </c>
      <c r="B3" s="15" t="s">
        <v>93</v>
      </c>
      <c r="C3" s="15" t="s">
        <v>92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3</v>
      </c>
      <c r="L3" s="16"/>
      <c r="N3" s="15">
        <v>2021</v>
      </c>
      <c r="O3" s="15">
        <v>2022</v>
      </c>
      <c r="P3" s="15">
        <v>2023</v>
      </c>
      <c r="Q3" s="15">
        <f>+P3+1</f>
        <v>2024</v>
      </c>
      <c r="R3" s="15">
        <f t="shared" ref="R3:AB3" si="0">+Q3+1</f>
        <v>2025</v>
      </c>
      <c r="S3" s="15">
        <f t="shared" si="0"/>
        <v>2026</v>
      </c>
      <c r="T3" s="15">
        <f t="shared" si="0"/>
        <v>2027</v>
      </c>
      <c r="U3" s="15">
        <f t="shared" si="0"/>
        <v>2028</v>
      </c>
      <c r="V3" s="15">
        <f t="shared" si="0"/>
        <v>2029</v>
      </c>
      <c r="W3" s="15">
        <f t="shared" si="0"/>
        <v>2030</v>
      </c>
      <c r="X3" s="15">
        <f t="shared" si="0"/>
        <v>2031</v>
      </c>
      <c r="Y3" s="15">
        <f t="shared" si="0"/>
        <v>2032</v>
      </c>
      <c r="Z3" s="15">
        <f t="shared" si="0"/>
        <v>2033</v>
      </c>
      <c r="AA3" s="15">
        <f t="shared" si="0"/>
        <v>2034</v>
      </c>
      <c r="AB3" s="15">
        <f t="shared" si="0"/>
        <v>2035</v>
      </c>
    </row>
    <row r="4" spans="1:28" s="5" customFormat="1" x14ac:dyDescent="0.2">
      <c r="A4" s="5" t="s">
        <v>11</v>
      </c>
      <c r="B4" s="6">
        <v>4392</v>
      </c>
      <c r="C4" s="6">
        <v>5539</v>
      </c>
      <c r="D4" s="6">
        <v>4245</v>
      </c>
      <c r="E4" s="6">
        <f>O4-SUM(B4:D4)</f>
        <v>3561</v>
      </c>
      <c r="F4" s="6">
        <v>3930</v>
      </c>
      <c r="G4" s="6">
        <v>4620</v>
      </c>
      <c r="H4" s="6">
        <v>3751</v>
      </c>
      <c r="I4" s="6">
        <f>P4-SUM(F4:H4)</f>
        <v>3609</v>
      </c>
      <c r="J4" s="6">
        <v>3518</v>
      </c>
      <c r="K4" s="6">
        <v>4279</v>
      </c>
      <c r="N4" s="5">
        <v>16215</v>
      </c>
      <c r="O4" s="5">
        <v>17737</v>
      </c>
      <c r="P4" s="5">
        <v>15910</v>
      </c>
      <c r="R4" s="7"/>
      <c r="U4" s="8"/>
      <c r="W4" s="8"/>
    </row>
    <row r="5" spans="1:28" x14ac:dyDescent="0.2">
      <c r="A5" s="2" t="s">
        <v>12</v>
      </c>
      <c r="B5" s="9">
        <v>1057</v>
      </c>
      <c r="C5" s="9">
        <v>1223</v>
      </c>
      <c r="D5" s="9">
        <v>994</v>
      </c>
      <c r="E5" s="6">
        <f>O5-SUM(B5:D5)</f>
        <v>1031</v>
      </c>
      <c r="F5" s="9">
        <v>1023</v>
      </c>
      <c r="G5" s="9">
        <v>1219</v>
      </c>
      <c r="H5" s="9">
        <v>1159</v>
      </c>
      <c r="I5" s="9">
        <f>P5-SUM(F5:H5)</f>
        <v>1163</v>
      </c>
      <c r="J5" s="9">
        <v>1070</v>
      </c>
      <c r="K5" s="9">
        <v>1154</v>
      </c>
      <c r="N5" s="2">
        <v>3834</v>
      </c>
      <c r="O5" s="2">
        <v>4305</v>
      </c>
      <c r="P5" s="2">
        <v>4564</v>
      </c>
      <c r="R5" s="10"/>
      <c r="U5" s="11"/>
      <c r="W5" s="11"/>
    </row>
    <row r="6" spans="1:28" x14ac:dyDescent="0.2">
      <c r="A6" s="2" t="s">
        <v>96</v>
      </c>
      <c r="B6" s="9">
        <f t="shared" ref="B6:K6" si="1">SUM(B4-B5)</f>
        <v>3335</v>
      </c>
      <c r="C6" s="9">
        <f t="shared" si="1"/>
        <v>4316</v>
      </c>
      <c r="D6" s="9">
        <f t="shared" si="1"/>
        <v>3251</v>
      </c>
      <c r="E6" s="9">
        <f t="shared" si="1"/>
        <v>2530</v>
      </c>
      <c r="F6" s="9">
        <f t="shared" si="1"/>
        <v>2907</v>
      </c>
      <c r="G6" s="9">
        <f t="shared" si="1"/>
        <v>3401</v>
      </c>
      <c r="H6" s="9">
        <f t="shared" si="1"/>
        <v>2592</v>
      </c>
      <c r="I6" s="9">
        <f t="shared" si="1"/>
        <v>2446</v>
      </c>
      <c r="J6" s="9">
        <f t="shared" si="1"/>
        <v>2448</v>
      </c>
      <c r="K6" s="9">
        <f t="shared" si="1"/>
        <v>3125</v>
      </c>
      <c r="N6" s="2">
        <f>+N4-N5</f>
        <v>12381</v>
      </c>
      <c r="O6" s="2">
        <f>+O4-O5</f>
        <v>13432</v>
      </c>
      <c r="P6" s="2">
        <f>+P4-P5</f>
        <v>11346</v>
      </c>
      <c r="R6" s="10"/>
      <c r="U6" s="11"/>
      <c r="W6" s="11"/>
    </row>
    <row r="7" spans="1:28" x14ac:dyDescent="0.2">
      <c r="A7" s="2" t="s">
        <v>13</v>
      </c>
      <c r="B7" s="9">
        <v>2394</v>
      </c>
      <c r="C7" s="9">
        <v>2885</v>
      </c>
      <c r="D7" s="9">
        <v>2275</v>
      </c>
      <c r="E7" s="6">
        <f>O7-SUM(B7:D7)</f>
        <v>2334</v>
      </c>
      <c r="F7" s="9">
        <v>2244</v>
      </c>
      <c r="G7" s="9">
        <v>2630</v>
      </c>
      <c r="H7" s="9">
        <v>2281</v>
      </c>
      <c r="I7" s="9">
        <f>P7-SUM(F7:H7)</f>
        <v>2420</v>
      </c>
      <c r="J7" s="9">
        <v>2349</v>
      </c>
      <c r="K7" s="9">
        <v>2544</v>
      </c>
      <c r="N7" s="2">
        <v>9371</v>
      </c>
      <c r="O7" s="2">
        <v>9888</v>
      </c>
      <c r="P7" s="2">
        <v>9575</v>
      </c>
    </row>
    <row r="8" spans="1:28" x14ac:dyDescent="0.2">
      <c r="A8" s="2" t="s">
        <v>34</v>
      </c>
      <c r="B8" s="9">
        <v>6</v>
      </c>
      <c r="C8" s="9">
        <v>13</v>
      </c>
      <c r="D8" s="9">
        <v>22</v>
      </c>
      <c r="E8" s="6">
        <f>O8-SUM(B8:D8)</f>
        <v>92</v>
      </c>
      <c r="F8" s="9">
        <v>2</v>
      </c>
      <c r="G8" s="9">
        <v>8</v>
      </c>
      <c r="H8" s="9">
        <v>14</v>
      </c>
      <c r="I8" s="9">
        <f>P8-SUM(F8:H8)</f>
        <v>31</v>
      </c>
      <c r="J8" s="9">
        <v>1</v>
      </c>
      <c r="K8" s="9">
        <v>7</v>
      </c>
      <c r="N8" s="2">
        <v>204</v>
      </c>
      <c r="O8" s="2">
        <v>133</v>
      </c>
      <c r="P8" s="2">
        <v>55</v>
      </c>
    </row>
    <row r="9" spans="1:28" x14ac:dyDescent="0.2">
      <c r="A9" s="2" t="s">
        <v>42</v>
      </c>
      <c r="B9" s="9">
        <v>0</v>
      </c>
      <c r="C9" s="9">
        <v>0</v>
      </c>
      <c r="D9" s="9">
        <v>216</v>
      </c>
      <c r="E9" s="6">
        <f>O9-SUM(B9:D9)</f>
        <v>25</v>
      </c>
      <c r="F9" s="9">
        <v>0</v>
      </c>
      <c r="G9" s="9">
        <v>207</v>
      </c>
      <c r="H9" s="9">
        <v>0</v>
      </c>
      <c r="I9" s="9">
        <f>P9-SUM(F9:H9)</f>
        <v>0</v>
      </c>
      <c r="J9" s="9">
        <v>0</v>
      </c>
      <c r="K9" s="9">
        <v>0</v>
      </c>
      <c r="N9" s="2">
        <f>54+134</f>
        <v>188</v>
      </c>
      <c r="O9" s="2">
        <v>241</v>
      </c>
      <c r="P9" s="2">
        <v>207</v>
      </c>
    </row>
    <row r="10" spans="1:28" x14ac:dyDescent="0.2">
      <c r="A10" s="2" t="s">
        <v>14</v>
      </c>
      <c r="B10" s="9">
        <f t="shared" ref="B10:K10" si="2">B7+B8+B9</f>
        <v>2400</v>
      </c>
      <c r="C10" s="9">
        <f t="shared" si="2"/>
        <v>2898</v>
      </c>
      <c r="D10" s="9">
        <f t="shared" si="2"/>
        <v>2513</v>
      </c>
      <c r="E10" s="9">
        <f t="shared" si="2"/>
        <v>2451</v>
      </c>
      <c r="F10" s="9">
        <f t="shared" si="2"/>
        <v>2246</v>
      </c>
      <c r="G10" s="9">
        <f t="shared" si="2"/>
        <v>2845</v>
      </c>
      <c r="H10" s="9">
        <f t="shared" si="2"/>
        <v>2295</v>
      </c>
      <c r="I10" s="9">
        <f t="shared" si="2"/>
        <v>2451</v>
      </c>
      <c r="J10" s="9">
        <f t="shared" si="2"/>
        <v>2350</v>
      </c>
      <c r="K10" s="9">
        <f t="shared" si="2"/>
        <v>2551</v>
      </c>
      <c r="N10" s="2">
        <f>SUM(N7:N9)</f>
        <v>9763</v>
      </c>
      <c r="O10" s="2">
        <f>SUM(O7:O9)</f>
        <v>10262</v>
      </c>
      <c r="P10" s="2">
        <f>SUM(P7:P9)</f>
        <v>9837</v>
      </c>
    </row>
    <row r="11" spans="1:28" s="5" customFormat="1" x14ac:dyDescent="0.2">
      <c r="A11" s="5" t="s">
        <v>15</v>
      </c>
      <c r="B11" s="6">
        <f>SUM(B6-B10)</f>
        <v>935</v>
      </c>
      <c r="C11" s="6">
        <f>SUM(C6-C10)</f>
        <v>1418</v>
      </c>
      <c r="D11" s="6">
        <f>SUM(D6-D10)</f>
        <v>738</v>
      </c>
      <c r="E11" s="6">
        <f>O11-SUM(B11:D11)</f>
        <v>79</v>
      </c>
      <c r="F11" s="6">
        <f t="shared" ref="F11:K11" si="3">SUM(F6-F10)</f>
        <v>661</v>
      </c>
      <c r="G11" s="6">
        <f t="shared" si="3"/>
        <v>556</v>
      </c>
      <c r="H11" s="6">
        <f t="shared" si="3"/>
        <v>297</v>
      </c>
      <c r="I11" s="6">
        <f t="shared" si="3"/>
        <v>-5</v>
      </c>
      <c r="J11" s="6">
        <f t="shared" si="3"/>
        <v>98</v>
      </c>
      <c r="K11" s="6">
        <f t="shared" si="3"/>
        <v>574</v>
      </c>
      <c r="N11" s="5">
        <f>+N6-N10</f>
        <v>2618</v>
      </c>
      <c r="O11" s="5">
        <f>+O6-O10</f>
        <v>3170</v>
      </c>
      <c r="P11" s="5">
        <f>+P6-P10</f>
        <v>1509</v>
      </c>
      <c r="Q11" s="8"/>
    </row>
    <row r="12" spans="1:28" x14ac:dyDescent="0.2">
      <c r="A12" s="2" t="s">
        <v>35</v>
      </c>
      <c r="B12" s="9">
        <v>42</v>
      </c>
      <c r="C12" s="9">
        <v>42</v>
      </c>
      <c r="D12" s="9">
        <v>41</v>
      </c>
      <c r="E12" s="6">
        <f>O12-SUM(B12:D12)</f>
        <v>42</v>
      </c>
      <c r="F12" s="9">
        <v>46</v>
      </c>
      <c r="G12" s="9">
        <v>52</v>
      </c>
      <c r="H12" s="9">
        <v>58</v>
      </c>
      <c r="I12" s="9">
        <f>P12-SUM(F12:H12)</f>
        <v>99</v>
      </c>
      <c r="J12" s="9">
        <v>95</v>
      </c>
      <c r="K12" s="9">
        <v>98</v>
      </c>
      <c r="L12" s="2"/>
      <c r="N12" s="2">
        <v>173</v>
      </c>
      <c r="O12" s="2">
        <v>167</v>
      </c>
      <c r="P12" s="2">
        <v>255</v>
      </c>
    </row>
    <row r="13" spans="1:28" x14ac:dyDescent="0.2">
      <c r="A13" s="2" t="s">
        <v>16</v>
      </c>
      <c r="B13" s="9">
        <v>4</v>
      </c>
      <c r="C13" s="9">
        <v>10</v>
      </c>
      <c r="D13" s="9">
        <v>5</v>
      </c>
      <c r="E13" s="6">
        <f>O13-SUM(B13:D13)</f>
        <v>11</v>
      </c>
      <c r="F13" s="9">
        <v>15</v>
      </c>
      <c r="G13" s="9">
        <v>26</v>
      </c>
      <c r="H13" s="9">
        <v>37</v>
      </c>
      <c r="I13" s="9">
        <f>P13-SUM(F13:H13)</f>
        <v>53</v>
      </c>
      <c r="J13" s="9">
        <v>41</v>
      </c>
      <c r="K13" s="9">
        <v>40</v>
      </c>
      <c r="N13" s="2">
        <v>51</v>
      </c>
      <c r="O13" s="2">
        <v>30</v>
      </c>
      <c r="P13" s="2">
        <v>131</v>
      </c>
    </row>
    <row r="14" spans="1:28" x14ac:dyDescent="0.2">
      <c r="A14" s="2" t="s">
        <v>36</v>
      </c>
      <c r="B14" s="9">
        <v>1</v>
      </c>
      <c r="C14" s="9">
        <v>-2</v>
      </c>
      <c r="D14" s="9">
        <v>-1</v>
      </c>
      <c r="E14" s="6">
        <f>O14-SUM(B14:D14)</f>
        <v>0</v>
      </c>
      <c r="F14" s="9">
        <v>-3</v>
      </c>
      <c r="G14" s="9">
        <v>-2</v>
      </c>
      <c r="H14" s="9">
        <v>-4</v>
      </c>
      <c r="I14" s="9">
        <f>P14-SUM(F14:H14)</f>
        <v>-3</v>
      </c>
      <c r="J14" s="9">
        <v>-2</v>
      </c>
      <c r="K14" s="9">
        <v>-3</v>
      </c>
      <c r="N14" s="2">
        <v>12</v>
      </c>
      <c r="O14" s="2">
        <v>-2</v>
      </c>
      <c r="P14" s="2">
        <v>-12</v>
      </c>
    </row>
    <row r="15" spans="1:28" x14ac:dyDescent="0.2">
      <c r="A15" s="2" t="s">
        <v>48</v>
      </c>
      <c r="B15" s="9">
        <v>1</v>
      </c>
      <c r="C15" s="9">
        <v>0</v>
      </c>
      <c r="D15" s="9">
        <v>0</v>
      </c>
      <c r="E15" s="6">
        <f>O15-SUM(B15:D15)</f>
        <v>0</v>
      </c>
      <c r="F15" s="9">
        <v>0</v>
      </c>
      <c r="G15" s="9">
        <v>0</v>
      </c>
      <c r="H15" s="9">
        <v>0</v>
      </c>
      <c r="I15" s="9">
        <f>P15-SUM(F15:H15)</f>
        <v>0</v>
      </c>
      <c r="J15" s="9">
        <v>0</v>
      </c>
      <c r="K15" s="9">
        <v>0</v>
      </c>
      <c r="N15" s="2">
        <v>847</v>
      </c>
      <c r="O15" s="2">
        <v>1</v>
      </c>
      <c r="P15" s="2">
        <v>0</v>
      </c>
    </row>
    <row r="16" spans="1:28" x14ac:dyDescent="0.2">
      <c r="A16" s="2" t="s">
        <v>17</v>
      </c>
      <c r="B16" s="9">
        <f t="shared" ref="B16:K16" si="4">B11-B12+B13-B14+B15</f>
        <v>897</v>
      </c>
      <c r="C16" s="9">
        <f t="shared" si="4"/>
        <v>1388</v>
      </c>
      <c r="D16" s="9">
        <f t="shared" si="4"/>
        <v>703</v>
      </c>
      <c r="E16" s="9">
        <f t="shared" si="4"/>
        <v>48</v>
      </c>
      <c r="F16" s="9">
        <f t="shared" si="4"/>
        <v>633</v>
      </c>
      <c r="G16" s="9">
        <f t="shared" si="4"/>
        <v>532</v>
      </c>
      <c r="H16" s="9">
        <f t="shared" si="4"/>
        <v>280</v>
      </c>
      <c r="I16" s="9">
        <f t="shared" si="4"/>
        <v>-48</v>
      </c>
      <c r="J16" s="9">
        <f t="shared" si="4"/>
        <v>46</v>
      </c>
      <c r="K16" s="9">
        <f t="shared" si="4"/>
        <v>519</v>
      </c>
      <c r="N16" s="9">
        <f>N11-N12+N13-N14+N15</f>
        <v>3331</v>
      </c>
      <c r="O16" s="9">
        <f>O11-O12+O13-O14+O15</f>
        <v>3036</v>
      </c>
      <c r="P16" s="9">
        <f>P11-P12+P13-P14+P15</f>
        <v>1397</v>
      </c>
      <c r="Q16" s="11"/>
    </row>
    <row r="17" spans="1:17" x14ac:dyDescent="0.2">
      <c r="A17" s="2" t="s">
        <v>18</v>
      </c>
      <c r="B17" s="9">
        <v>202</v>
      </c>
      <c r="C17" s="9">
        <v>298</v>
      </c>
      <c r="D17" s="9">
        <v>130</v>
      </c>
      <c r="E17" s="6">
        <f>O17-SUM(B17:D17)</f>
        <v>-2</v>
      </c>
      <c r="F17" s="9">
        <v>143</v>
      </c>
      <c r="G17" s="9">
        <v>135</v>
      </c>
      <c r="H17" s="9">
        <v>125</v>
      </c>
      <c r="I17" s="9">
        <f>P17-SUM(F17:H17)</f>
        <v>-16</v>
      </c>
      <c r="J17" s="9">
        <v>10</v>
      </c>
      <c r="K17" s="9">
        <v>195</v>
      </c>
      <c r="N17" s="2">
        <v>456</v>
      </c>
      <c r="O17" s="2">
        <v>628</v>
      </c>
      <c r="P17" s="2">
        <v>387</v>
      </c>
    </row>
    <row r="18" spans="1:17" s="5" customFormat="1" x14ac:dyDescent="0.2">
      <c r="A18" s="5" t="s">
        <v>19</v>
      </c>
      <c r="B18" s="6">
        <f t="shared" ref="B18:K18" si="5">B16-B17</f>
        <v>695</v>
      </c>
      <c r="C18" s="6">
        <f t="shared" si="5"/>
        <v>1090</v>
      </c>
      <c r="D18" s="6">
        <f t="shared" si="5"/>
        <v>573</v>
      </c>
      <c r="E18" s="6">
        <f t="shared" si="5"/>
        <v>50</v>
      </c>
      <c r="F18" s="6">
        <f t="shared" si="5"/>
        <v>490</v>
      </c>
      <c r="G18" s="6">
        <f t="shared" si="5"/>
        <v>397</v>
      </c>
      <c r="H18" s="6">
        <f t="shared" si="5"/>
        <v>155</v>
      </c>
      <c r="I18" s="6">
        <f t="shared" si="5"/>
        <v>-32</v>
      </c>
      <c r="J18" s="6">
        <f t="shared" si="5"/>
        <v>36</v>
      </c>
      <c r="K18" s="6">
        <f t="shared" si="5"/>
        <v>324</v>
      </c>
      <c r="N18" s="6">
        <f>N16-N17</f>
        <v>2875</v>
      </c>
      <c r="O18" s="6">
        <f>O16-O17</f>
        <v>2408</v>
      </c>
      <c r="P18" s="6">
        <f>P16-P17</f>
        <v>1010</v>
      </c>
    </row>
    <row r="19" spans="1:17" x14ac:dyDescent="0.2">
      <c r="A19" s="2" t="s">
        <v>44</v>
      </c>
      <c r="B19" s="9">
        <v>-1</v>
      </c>
      <c r="C19" s="9">
        <v>-4</v>
      </c>
      <c r="D19" s="9">
        <v>-3</v>
      </c>
      <c r="E19" s="6">
        <f>O19-SUM(B19:D19)</f>
        <v>1</v>
      </c>
      <c r="F19" s="9">
        <v>0</v>
      </c>
      <c r="G19" s="9">
        <v>0</v>
      </c>
      <c r="H19" s="9">
        <v>0</v>
      </c>
      <c r="I19" s="9">
        <f>P19-SUM(F19:H19)</f>
        <v>0</v>
      </c>
      <c r="J19" s="9">
        <v>0</v>
      </c>
      <c r="K19" s="9">
        <v>0</v>
      </c>
      <c r="L19" s="2"/>
      <c r="N19" s="2">
        <v>-12</v>
      </c>
      <c r="O19" s="2">
        <v>-7</v>
      </c>
      <c r="P19" s="2">
        <v>0</v>
      </c>
    </row>
    <row r="20" spans="1:17" x14ac:dyDescent="0.2">
      <c r="A20" s="2" t="s">
        <v>45</v>
      </c>
      <c r="B20" s="9">
        <v>-2</v>
      </c>
      <c r="C20" s="9">
        <v>2</v>
      </c>
      <c r="D20" s="9">
        <v>-12</v>
      </c>
      <c r="E20" s="6">
        <f>O20-SUM(B20:D20)</f>
        <v>1</v>
      </c>
      <c r="F20" s="9">
        <v>-1</v>
      </c>
      <c r="G20" s="9">
        <v>-3</v>
      </c>
      <c r="H20" s="9">
        <v>1</v>
      </c>
      <c r="I20" s="9">
        <f>P20-SUM(F20:H20)</f>
        <v>-1</v>
      </c>
      <c r="J20" s="9">
        <v>-5</v>
      </c>
      <c r="K20" s="9">
        <v>-11</v>
      </c>
      <c r="L20" s="2"/>
      <c r="N20" s="2">
        <v>7</v>
      </c>
      <c r="O20" s="2">
        <v>-11</v>
      </c>
      <c r="P20" s="2">
        <v>-4</v>
      </c>
    </row>
    <row r="21" spans="1:17" s="5" customFormat="1" x14ac:dyDescent="0.2">
      <c r="A21" s="5" t="s">
        <v>37</v>
      </c>
      <c r="B21" s="6">
        <f t="shared" ref="B21:K21" si="6">B18+B19+B20</f>
        <v>692</v>
      </c>
      <c r="C21" s="6">
        <f t="shared" si="6"/>
        <v>1088</v>
      </c>
      <c r="D21" s="6">
        <f t="shared" si="6"/>
        <v>558</v>
      </c>
      <c r="E21" s="6">
        <f t="shared" si="6"/>
        <v>52</v>
      </c>
      <c r="F21" s="6">
        <f t="shared" si="6"/>
        <v>489</v>
      </c>
      <c r="G21" s="6">
        <f t="shared" si="6"/>
        <v>394</v>
      </c>
      <c r="H21" s="6">
        <f t="shared" si="6"/>
        <v>156</v>
      </c>
      <c r="I21" s="6">
        <f t="shared" si="6"/>
        <v>-33</v>
      </c>
      <c r="J21" s="6">
        <f t="shared" si="6"/>
        <v>31</v>
      </c>
      <c r="K21" s="6">
        <f t="shared" si="6"/>
        <v>313</v>
      </c>
      <c r="N21" s="6">
        <f>N18+N19+N20</f>
        <v>2870</v>
      </c>
      <c r="O21" s="6">
        <f>O18+O19+O20</f>
        <v>2390</v>
      </c>
      <c r="P21" s="6">
        <f>P18+P19+P20</f>
        <v>1006</v>
      </c>
      <c r="Q21" s="8"/>
    </row>
    <row r="22" spans="1:17" x14ac:dyDescent="0.2">
      <c r="A22" s="2" t="s">
        <v>20</v>
      </c>
      <c r="B22" s="9">
        <v>367.9</v>
      </c>
      <c r="C22" s="9">
        <v>366</v>
      </c>
      <c r="D22" s="9">
        <v>363.6</v>
      </c>
      <c r="E22" s="9">
        <v>360.9</v>
      </c>
      <c r="F22" s="9">
        <v>361.4</v>
      </c>
      <c r="G22" s="9">
        <v>360.4</v>
      </c>
      <c r="H22" s="9">
        <v>361.2</v>
      </c>
      <c r="I22" s="9">
        <v>360.9</v>
      </c>
      <c r="J22" s="9">
        <v>360.5</v>
      </c>
      <c r="K22" s="9">
        <v>360</v>
      </c>
      <c r="N22" s="2">
        <v>368.2</v>
      </c>
      <c r="O22" s="2">
        <v>364.9</v>
      </c>
      <c r="P22" s="2">
        <v>360.9</v>
      </c>
    </row>
    <row r="23" spans="1:17" s="12" customFormat="1" x14ac:dyDescent="0.2">
      <c r="A23" s="12" t="s">
        <v>21</v>
      </c>
      <c r="B23" s="13">
        <f t="shared" ref="B23:K23" si="7">SUM(B18/B22)</f>
        <v>1.889100298994292</v>
      </c>
      <c r="C23" s="13">
        <f t="shared" si="7"/>
        <v>2.9781420765027322</v>
      </c>
      <c r="D23" s="13">
        <f t="shared" si="7"/>
        <v>1.5759075907590758</v>
      </c>
      <c r="E23" s="13">
        <f t="shared" si="7"/>
        <v>0.13854253255749516</v>
      </c>
      <c r="F23" s="13">
        <f t="shared" si="7"/>
        <v>1.3558384061981186</v>
      </c>
      <c r="G23" s="13">
        <f t="shared" si="7"/>
        <v>1.1015538290788014</v>
      </c>
      <c r="H23" s="13">
        <f t="shared" si="7"/>
        <v>0.42912513842746403</v>
      </c>
      <c r="I23" s="13">
        <f t="shared" si="7"/>
        <v>-8.8667220836796901E-2</v>
      </c>
      <c r="J23" s="13">
        <f t="shared" si="7"/>
        <v>9.9861303744798888E-2</v>
      </c>
      <c r="K23" s="13">
        <f t="shared" si="7"/>
        <v>0.9</v>
      </c>
      <c r="L23" s="13"/>
      <c r="N23" s="13">
        <f>SUM(N18/N22)</f>
        <v>7.8082563824008693</v>
      </c>
      <c r="O23" s="13">
        <f>SUM(O18/O22)</f>
        <v>6.5990682378733903</v>
      </c>
      <c r="P23" s="13">
        <f>SUM(P18/P22)</f>
        <v>2.7985591576614022</v>
      </c>
    </row>
    <row r="24" spans="1:17" x14ac:dyDescent="0.2">
      <c r="B24" s="4"/>
      <c r="C24" s="4"/>
      <c r="D24" s="4"/>
    </row>
    <row r="25" spans="1:17" x14ac:dyDescent="0.2">
      <c r="A25" s="2" t="s">
        <v>22</v>
      </c>
      <c r="B25" s="14">
        <f t="shared" ref="B25:K25" si="8">SUM(B6/B4)</f>
        <v>0.75933515482695813</v>
      </c>
      <c r="C25" s="14">
        <f t="shared" si="8"/>
        <v>0.77920202202563638</v>
      </c>
      <c r="D25" s="14">
        <f t="shared" si="8"/>
        <v>0.76584216725559484</v>
      </c>
      <c r="E25" s="14">
        <f t="shared" si="8"/>
        <v>0.71047458579050826</v>
      </c>
      <c r="F25" s="14">
        <f t="shared" si="8"/>
        <v>0.7396946564885496</v>
      </c>
      <c r="G25" s="14">
        <f t="shared" si="8"/>
        <v>0.73614718614718611</v>
      </c>
      <c r="H25" s="14">
        <f t="shared" si="8"/>
        <v>0.69101572913889631</v>
      </c>
      <c r="I25" s="14">
        <f t="shared" si="8"/>
        <v>0.67775006927126624</v>
      </c>
      <c r="J25" s="14">
        <f t="shared" si="8"/>
        <v>0.69584991472427515</v>
      </c>
      <c r="K25" s="14">
        <f t="shared" si="8"/>
        <v>0.73031082028511329</v>
      </c>
      <c r="N25" s="14">
        <f>SUM(N6/N4)</f>
        <v>0.76355226641998153</v>
      </c>
      <c r="O25" s="14">
        <f>SUM(O6/O4)</f>
        <v>0.75728702711845297</v>
      </c>
      <c r="P25" s="14">
        <f>SUM(P6/P4)</f>
        <v>0.71313639220615965</v>
      </c>
    </row>
    <row r="26" spans="1:17" x14ac:dyDescent="0.2">
      <c r="A26" s="2" t="s">
        <v>23</v>
      </c>
      <c r="B26" s="14">
        <f t="shared" ref="B26:K26" si="9">B11/B4</f>
        <v>0.21288706739526411</v>
      </c>
      <c r="C26" s="14">
        <f t="shared" si="9"/>
        <v>0.25600288860805198</v>
      </c>
      <c r="D26" s="14">
        <f t="shared" si="9"/>
        <v>0.17385159010600706</v>
      </c>
      <c r="E26" s="14">
        <f t="shared" si="9"/>
        <v>2.218477955630441E-2</v>
      </c>
      <c r="F26" s="14">
        <f t="shared" si="9"/>
        <v>0.16819338422391858</v>
      </c>
      <c r="G26" s="14">
        <f t="shared" si="9"/>
        <v>0.12034632034632034</v>
      </c>
      <c r="H26" s="14">
        <f t="shared" si="9"/>
        <v>7.9178885630498533E-2</v>
      </c>
      <c r="I26" s="14">
        <f t="shared" si="9"/>
        <v>-1.3854253255749516E-3</v>
      </c>
      <c r="J26" s="14">
        <f t="shared" si="9"/>
        <v>2.785673678226265E-2</v>
      </c>
      <c r="K26" s="14">
        <f t="shared" si="9"/>
        <v>0.13414349146996962</v>
      </c>
      <c r="N26" s="14">
        <f>N11/N4</f>
        <v>0.16145544249152019</v>
      </c>
      <c r="O26" s="14">
        <f>O11/O4</f>
        <v>0.17872244460731804</v>
      </c>
      <c r="P26" s="14">
        <f>P11/P4</f>
        <v>9.4846008799497172E-2</v>
      </c>
    </row>
    <row r="27" spans="1:17" x14ac:dyDescent="0.2">
      <c r="A27" s="2" t="s">
        <v>24</v>
      </c>
      <c r="B27" s="14">
        <f t="shared" ref="B27:K27" si="10">SUM(B18/B4)</f>
        <v>0.15824225865209471</v>
      </c>
      <c r="C27" s="14">
        <f t="shared" si="10"/>
        <v>0.19678642354215561</v>
      </c>
      <c r="D27" s="14">
        <f t="shared" si="10"/>
        <v>0.13498233215547703</v>
      </c>
      <c r="E27" s="14">
        <f t="shared" si="10"/>
        <v>1.4040999719180006E-2</v>
      </c>
      <c r="F27" s="14">
        <f t="shared" si="10"/>
        <v>0.12468193384223919</v>
      </c>
      <c r="G27" s="14">
        <f t="shared" si="10"/>
        <v>8.5930735930735927E-2</v>
      </c>
      <c r="H27" s="14">
        <f t="shared" si="10"/>
        <v>4.1322314049586778E-2</v>
      </c>
      <c r="I27" s="14">
        <f t="shared" si="10"/>
        <v>-8.8667220836796904E-3</v>
      </c>
      <c r="J27" s="14">
        <f t="shared" si="10"/>
        <v>1.023308698123934E-2</v>
      </c>
      <c r="K27" s="14">
        <f t="shared" si="10"/>
        <v>7.5718625847160548E-2</v>
      </c>
      <c r="N27" s="14">
        <f>SUM(N18/N4)</f>
        <v>0.1773049645390071</v>
      </c>
      <c r="O27" s="14">
        <f>SUM(O18/O4)</f>
        <v>0.13576140271748321</v>
      </c>
      <c r="P27" s="14">
        <f>SUM(P18/P4)</f>
        <v>6.3482086737900692E-2</v>
      </c>
    </row>
    <row r="28" spans="1:17" x14ac:dyDescent="0.2">
      <c r="A28" s="2" t="s">
        <v>25</v>
      </c>
      <c r="B28" s="14">
        <f t="shared" ref="B28:K28" si="11">SUM(B17/B16)</f>
        <v>0.22519509476031216</v>
      </c>
      <c r="C28" s="14">
        <f t="shared" si="11"/>
        <v>0.21469740634005763</v>
      </c>
      <c r="D28" s="14">
        <f t="shared" si="11"/>
        <v>0.18492176386913228</v>
      </c>
      <c r="E28" s="14">
        <f t="shared" si="11"/>
        <v>-4.1666666666666664E-2</v>
      </c>
      <c r="F28" s="14">
        <f t="shared" si="11"/>
        <v>0.2259083728278041</v>
      </c>
      <c r="G28" s="14">
        <f t="shared" si="11"/>
        <v>0.25375939849624063</v>
      </c>
      <c r="H28" s="14">
        <f t="shared" si="11"/>
        <v>0.44642857142857145</v>
      </c>
      <c r="I28" s="14">
        <f t="shared" si="11"/>
        <v>0.33333333333333331</v>
      </c>
      <c r="J28" s="14">
        <f t="shared" si="11"/>
        <v>0.21739130434782608</v>
      </c>
      <c r="K28" s="14">
        <f t="shared" si="11"/>
        <v>0.37572254335260113</v>
      </c>
      <c r="N28" s="14">
        <f>SUM(N17/N16)</f>
        <v>0.13689582707895526</v>
      </c>
      <c r="O28" s="14">
        <f>SUM(O17/O16)</f>
        <v>0.20685111989459815</v>
      </c>
      <c r="P28" s="14">
        <f>SUM(P17/P16)</f>
        <v>0.27702219040801718</v>
      </c>
    </row>
    <row r="29" spans="1:17" x14ac:dyDescent="0.2">
      <c r="D29" s="4"/>
    </row>
    <row r="30" spans="1:17" s="19" customFormat="1" x14ac:dyDescent="0.2">
      <c r="A30" s="19" t="s">
        <v>98</v>
      </c>
      <c r="F30" s="19">
        <f t="shared" ref="F30:G30" si="12">+F4/B4-1</f>
        <v>-0.10519125683060104</v>
      </c>
      <c r="G30" s="19">
        <f t="shared" si="12"/>
        <v>-0.1659144249864597</v>
      </c>
      <c r="H30" s="19">
        <f>+H4/D4-1</f>
        <v>-0.11637220259128389</v>
      </c>
      <c r="I30" s="19">
        <f>+I4/E4-1</f>
        <v>1.347935973041281E-2</v>
      </c>
      <c r="J30" s="19">
        <f>+J4/F4-1</f>
        <v>-0.10483460559796443</v>
      </c>
      <c r="K30" s="19">
        <f>+K4/G4-1</f>
        <v>-7.3809523809523769E-2</v>
      </c>
      <c r="O30" s="19">
        <f>+O4/N4-1</f>
        <v>9.3863706444649919E-2</v>
      </c>
      <c r="P30" s="19">
        <f>+P4/O4-1</f>
        <v>-0.10300501775948578</v>
      </c>
    </row>
    <row r="31" spans="1:17" x14ac:dyDescent="0.2">
      <c r="D31" s="4"/>
    </row>
    <row r="32" spans="1:17" x14ac:dyDescent="0.2">
      <c r="A32" s="2" t="s">
        <v>101</v>
      </c>
      <c r="D32" s="9">
        <f>+D33-D43</f>
        <v>-1621</v>
      </c>
      <c r="E32" s="22"/>
      <c r="F32" s="9">
        <f>+F33-F43</f>
        <v>-2435</v>
      </c>
      <c r="G32" s="9">
        <f>+G33-G43</f>
        <v>-1646</v>
      </c>
      <c r="H32" s="9">
        <f>+H33-H43</f>
        <v>-1840</v>
      </c>
      <c r="I32" s="22"/>
      <c r="J32" s="9">
        <f>+J33-J43</f>
        <v>-5003</v>
      </c>
      <c r="K32" s="9">
        <f>+K33-K43</f>
        <v>-4201</v>
      </c>
      <c r="L32" s="2"/>
    </row>
    <row r="33" spans="1:16" x14ac:dyDescent="0.2">
      <c r="A33" s="11" t="s">
        <v>0</v>
      </c>
      <c r="B33" s="11"/>
      <c r="C33" s="11"/>
      <c r="D33" s="9">
        <v>3836</v>
      </c>
      <c r="E33" s="9"/>
      <c r="F33" s="9">
        <v>2938</v>
      </c>
      <c r="G33" s="9">
        <v>3725</v>
      </c>
      <c r="H33" s="9">
        <v>5531</v>
      </c>
      <c r="I33" s="9"/>
      <c r="J33" s="9">
        <v>3090</v>
      </c>
      <c r="K33" s="11">
        <v>3939</v>
      </c>
      <c r="L33" s="9"/>
      <c r="M33" s="11"/>
      <c r="N33" s="11"/>
      <c r="O33" s="11"/>
      <c r="P33" s="11"/>
    </row>
    <row r="34" spans="1:16" s="11" customFormat="1" x14ac:dyDescent="0.2">
      <c r="A34" s="11" t="s">
        <v>26</v>
      </c>
      <c r="D34" s="9">
        <v>2209</v>
      </c>
      <c r="E34" s="9"/>
      <c r="F34" s="9">
        <v>2156</v>
      </c>
      <c r="G34" s="9">
        <v>1932</v>
      </c>
      <c r="H34" s="9">
        <v>1904</v>
      </c>
      <c r="I34" s="9"/>
      <c r="J34" s="9">
        <v>1909</v>
      </c>
      <c r="K34" s="11">
        <v>1752</v>
      </c>
      <c r="L34" s="9"/>
    </row>
    <row r="35" spans="1:16" s="11" customFormat="1" x14ac:dyDescent="0.2">
      <c r="A35" s="11" t="s">
        <v>27</v>
      </c>
      <c r="D35" s="9">
        <v>2830</v>
      </c>
      <c r="E35" s="9"/>
      <c r="F35" s="9">
        <v>3018</v>
      </c>
      <c r="G35" s="9">
        <v>3069</v>
      </c>
      <c r="H35" s="9">
        <v>3097</v>
      </c>
      <c r="I35" s="9"/>
      <c r="J35" s="9">
        <v>2863</v>
      </c>
      <c r="K35" s="11">
        <v>2603</v>
      </c>
      <c r="L35" s="9"/>
    </row>
    <row r="36" spans="1:16" s="11" customFormat="1" x14ac:dyDescent="0.2">
      <c r="A36" s="11" t="s">
        <v>94</v>
      </c>
      <c r="D36" s="9">
        <v>625</v>
      </c>
      <c r="E36" s="9"/>
      <c r="F36" s="9">
        <v>754</v>
      </c>
      <c r="G36" s="9">
        <v>641</v>
      </c>
      <c r="H36" s="9">
        <v>715</v>
      </c>
      <c r="I36" s="9"/>
      <c r="J36" s="9">
        <v>723</v>
      </c>
      <c r="K36" s="11">
        <v>621</v>
      </c>
      <c r="L36" s="9"/>
    </row>
    <row r="37" spans="1:16" s="11" customFormat="1" x14ac:dyDescent="0.2">
      <c r="A37" s="11" t="s">
        <v>28</v>
      </c>
      <c r="D37" s="9">
        <v>2493</v>
      </c>
      <c r="E37" s="9"/>
      <c r="F37" s="9">
        <v>2654</v>
      </c>
      <c r="G37" s="11">
        <v>2908</v>
      </c>
      <c r="H37" s="9">
        <v>3026</v>
      </c>
      <c r="J37" s="9">
        <v>3103</v>
      </c>
      <c r="K37" s="11">
        <v>3220</v>
      </c>
      <c r="L37" s="9"/>
    </row>
    <row r="38" spans="1:16" s="11" customFormat="1" x14ac:dyDescent="0.2">
      <c r="A38" s="11" t="s">
        <v>38</v>
      </c>
      <c r="D38" s="9">
        <v>2034</v>
      </c>
      <c r="E38" s="9"/>
      <c r="F38" s="9">
        <v>1858</v>
      </c>
      <c r="G38" s="11">
        <v>1847</v>
      </c>
      <c r="H38" s="9">
        <v>1843</v>
      </c>
      <c r="J38" s="9">
        <v>1787</v>
      </c>
      <c r="K38" s="11">
        <v>1819</v>
      </c>
      <c r="L38" s="9"/>
    </row>
    <row r="39" spans="1:16" s="11" customFormat="1" x14ac:dyDescent="0.2">
      <c r="A39" s="11" t="s">
        <v>43</v>
      </c>
      <c r="D39" s="9">
        <f>2591+3638</f>
        <v>6229</v>
      </c>
      <c r="E39" s="9"/>
      <c r="F39" s="9">
        <f>2415+3190</f>
        <v>5605</v>
      </c>
      <c r="G39" s="11">
        <f>2473+3097</f>
        <v>5570</v>
      </c>
      <c r="H39" s="9">
        <f>2468+3045</f>
        <v>5513</v>
      </c>
      <c r="J39" s="9">
        <f>2455+5515</f>
        <v>7970</v>
      </c>
      <c r="K39" s="11">
        <f>2497+5554</f>
        <v>8051</v>
      </c>
      <c r="L39" s="9"/>
    </row>
    <row r="40" spans="1:16" s="11" customFormat="1" x14ac:dyDescent="0.2">
      <c r="A40" s="11" t="s">
        <v>95</v>
      </c>
      <c r="D40" s="9">
        <v>1103</v>
      </c>
      <c r="E40" s="9"/>
      <c r="F40" s="9">
        <v>1006</v>
      </c>
      <c r="G40" s="11">
        <v>1039</v>
      </c>
      <c r="H40" s="9">
        <v>1086</v>
      </c>
      <c r="J40" s="9">
        <v>1205</v>
      </c>
      <c r="K40" s="11">
        <v>1278</v>
      </c>
      <c r="L40" s="9"/>
    </row>
    <row r="41" spans="1:16" s="11" customFormat="1" x14ac:dyDescent="0.2">
      <c r="A41" s="11" t="s">
        <v>29</v>
      </c>
      <c r="D41" s="9">
        <f>SUM(D33:D40)</f>
        <v>21359</v>
      </c>
      <c r="E41" s="9"/>
      <c r="F41" s="9">
        <f>SUM(F33:F40)</f>
        <v>19989</v>
      </c>
      <c r="G41" s="11">
        <f>SUM(G33:G40)</f>
        <v>20731</v>
      </c>
      <c r="H41" s="9">
        <f>SUM(H33:H40)</f>
        <v>22715</v>
      </c>
      <c r="J41" s="9">
        <f>SUM(J33:J40)</f>
        <v>22650</v>
      </c>
      <c r="K41" s="11">
        <f>SUM(K33:K40)</f>
        <v>23283</v>
      </c>
      <c r="L41" s="9"/>
    </row>
    <row r="42" spans="1:16" s="11" customFormat="1" x14ac:dyDescent="0.2">
      <c r="D42" s="9"/>
      <c r="E42" s="9"/>
      <c r="F42" s="9"/>
      <c r="H42" s="9"/>
      <c r="J42" s="9"/>
      <c r="L42" s="9"/>
    </row>
    <row r="43" spans="1:16" s="11" customFormat="1" x14ac:dyDescent="0.2">
      <c r="A43" s="2" t="s">
        <v>1</v>
      </c>
      <c r="B43" s="2"/>
      <c r="C43" s="2"/>
      <c r="D43" s="9">
        <f>269+5188</f>
        <v>5457</v>
      </c>
      <c r="E43" s="9"/>
      <c r="F43" s="9">
        <f>266+5107</f>
        <v>5373</v>
      </c>
      <c r="G43" s="4">
        <f>260+5111</f>
        <v>5371</v>
      </c>
      <c r="H43" s="9">
        <f>2243+5128</f>
        <v>7371</v>
      </c>
      <c r="I43" s="4"/>
      <c r="J43" s="9">
        <f>1005+7088</f>
        <v>8093</v>
      </c>
      <c r="K43" s="4">
        <f>1500+6640</f>
        <v>8140</v>
      </c>
      <c r="L43" s="4"/>
      <c r="M43" s="2"/>
      <c r="N43" s="2"/>
      <c r="O43" s="2"/>
      <c r="P43" s="4"/>
    </row>
    <row r="44" spans="1:16" x14ac:dyDescent="0.2">
      <c r="A44" s="2" t="s">
        <v>30</v>
      </c>
      <c r="D44" s="9">
        <v>1470</v>
      </c>
      <c r="E44" s="9"/>
      <c r="F44" s="9">
        <v>1392</v>
      </c>
      <c r="G44" s="4">
        <v>1507</v>
      </c>
      <c r="H44" s="9">
        <v>1520</v>
      </c>
      <c r="J44" s="9">
        <v>1257</v>
      </c>
      <c r="K44" s="4">
        <v>1252</v>
      </c>
      <c r="P44" s="4"/>
    </row>
    <row r="45" spans="1:16" x14ac:dyDescent="0.2">
      <c r="A45" s="2" t="s">
        <v>40</v>
      </c>
      <c r="D45" s="9">
        <f>388+1948</f>
        <v>2336</v>
      </c>
      <c r="E45" s="9"/>
      <c r="F45" s="9">
        <f>340+1781</f>
        <v>2121</v>
      </c>
      <c r="G45" s="4">
        <f>349+1757</f>
        <v>2106</v>
      </c>
      <c r="H45" s="9">
        <f>357+1734</f>
        <v>2091</v>
      </c>
      <c r="J45" s="9">
        <f>352+1687</f>
        <v>2039</v>
      </c>
      <c r="K45" s="4">
        <f>366+1695</f>
        <v>2061</v>
      </c>
      <c r="P45" s="4"/>
    </row>
    <row r="46" spans="1:16" x14ac:dyDescent="0.2">
      <c r="A46" s="2" t="s">
        <v>39</v>
      </c>
      <c r="D46" s="9">
        <v>3287</v>
      </c>
      <c r="E46" s="9"/>
      <c r="F46" s="9">
        <v>3273</v>
      </c>
      <c r="G46" s="4">
        <v>3539</v>
      </c>
      <c r="H46" s="9">
        <v>3580</v>
      </c>
      <c r="J46" s="9">
        <v>3300</v>
      </c>
      <c r="K46" s="4">
        <v>3456</v>
      </c>
      <c r="P46" s="4"/>
    </row>
    <row r="47" spans="1:16" x14ac:dyDescent="0.2">
      <c r="A47" s="2" t="s">
        <v>41</v>
      </c>
      <c r="D47" s="9">
        <v>1758</v>
      </c>
      <c r="E47" s="9"/>
      <c r="F47" s="9">
        <v>1505</v>
      </c>
      <c r="G47" s="4">
        <v>1487</v>
      </c>
      <c r="H47" s="9">
        <v>1457</v>
      </c>
      <c r="J47" s="9">
        <v>1793</v>
      </c>
      <c r="K47" s="4">
        <v>1812</v>
      </c>
      <c r="P47" s="4"/>
    </row>
    <row r="48" spans="1:16" x14ac:dyDescent="0.2">
      <c r="A48" s="2" t="s">
        <v>31</v>
      </c>
      <c r="D48" s="11">
        <f>SUM(D43:D47)</f>
        <v>14308</v>
      </c>
      <c r="E48" s="9"/>
      <c r="F48" s="9">
        <f>SUM(F43:F47)</f>
        <v>13664</v>
      </c>
      <c r="G48" s="4">
        <f>SUM(G43:G47)</f>
        <v>14010</v>
      </c>
      <c r="H48" s="9">
        <f>SUM(H43:H47)</f>
        <v>16019</v>
      </c>
      <c r="J48" s="9">
        <f>SUM(J43:J47)</f>
        <v>16482</v>
      </c>
      <c r="K48" s="4">
        <f>SUM(K43:K47)</f>
        <v>16721</v>
      </c>
      <c r="P48" s="4"/>
    </row>
    <row r="49" spans="1:16" x14ac:dyDescent="0.2">
      <c r="A49" s="2" t="s">
        <v>46</v>
      </c>
      <c r="D49" s="11">
        <v>865</v>
      </c>
      <c r="E49" s="9"/>
      <c r="F49" s="9">
        <v>808</v>
      </c>
      <c r="G49" s="4">
        <v>819</v>
      </c>
      <c r="H49" s="9">
        <v>819</v>
      </c>
      <c r="J49" s="9">
        <v>826</v>
      </c>
      <c r="K49" s="4">
        <v>850</v>
      </c>
      <c r="P49" s="4"/>
    </row>
    <row r="50" spans="1:16" x14ac:dyDescent="0.2">
      <c r="A50" s="2" t="s">
        <v>32</v>
      </c>
      <c r="D50" s="11">
        <v>6186</v>
      </c>
      <c r="E50" s="9"/>
      <c r="F50" s="9">
        <v>5517</v>
      </c>
      <c r="G50" s="4">
        <v>5902</v>
      </c>
      <c r="H50" s="9">
        <v>5877</v>
      </c>
      <c r="J50" s="9">
        <v>5342</v>
      </c>
      <c r="K50" s="4">
        <v>5712</v>
      </c>
      <c r="P50" s="4"/>
    </row>
    <row r="51" spans="1:16" x14ac:dyDescent="0.2">
      <c r="A51" s="2" t="s">
        <v>33</v>
      </c>
      <c r="D51" s="11">
        <f>+D48+D49+D50</f>
        <v>21359</v>
      </c>
      <c r="E51" s="9"/>
      <c r="F51" s="11">
        <f>+F48+F49+F50</f>
        <v>19989</v>
      </c>
      <c r="G51" s="11">
        <f>+G48+G49+G50</f>
        <v>20731</v>
      </c>
      <c r="H51" s="11">
        <f>+H48+H49+H50</f>
        <v>22715</v>
      </c>
      <c r="I51" s="11"/>
      <c r="J51" s="11">
        <f>+J48+J49+J50</f>
        <v>22650</v>
      </c>
      <c r="K51" s="11">
        <f>+K48+K49+K50</f>
        <v>23283</v>
      </c>
      <c r="P51" s="11"/>
    </row>
    <row r="52" spans="1:16" x14ac:dyDescent="0.2">
      <c r="E52" s="2"/>
      <c r="F52" s="2"/>
      <c r="G52" s="2"/>
      <c r="H52" s="2"/>
      <c r="I52" s="2"/>
      <c r="J52" s="2"/>
      <c r="K52" s="2"/>
      <c r="L52" s="2"/>
    </row>
    <row r="53" spans="1:16" x14ac:dyDescent="0.2">
      <c r="J53" s="9"/>
    </row>
    <row r="54" spans="1:16" x14ac:dyDescent="0.2">
      <c r="J54" s="9"/>
    </row>
    <row r="55" spans="1:16" x14ac:dyDescent="0.2">
      <c r="J55" s="9"/>
    </row>
    <row r="56" spans="1:16" x14ac:dyDescent="0.2">
      <c r="J56" s="9"/>
    </row>
    <row r="57" spans="1:16" x14ac:dyDescent="0.2">
      <c r="J57" s="9"/>
    </row>
    <row r="58" spans="1:16" x14ac:dyDescent="0.2">
      <c r="J58" s="9"/>
    </row>
    <row r="59" spans="1:16" x14ac:dyDescent="0.2">
      <c r="J59" s="9"/>
    </row>
    <row r="60" spans="1:16" x14ac:dyDescent="0.2">
      <c r="J60" s="9"/>
    </row>
    <row r="61" spans="1:16" x14ac:dyDescent="0.2">
      <c r="J61" s="9"/>
    </row>
    <row r="62" spans="1:16" x14ac:dyDescent="0.2">
      <c r="J62" s="9"/>
    </row>
    <row r="63" spans="1:16" x14ac:dyDescent="0.2">
      <c r="J63" s="9"/>
    </row>
    <row r="64" spans="1:16" x14ac:dyDescent="0.2">
      <c r="J64" s="9"/>
    </row>
    <row r="65" spans="10:10" x14ac:dyDescent="0.2">
      <c r="J65" s="9"/>
    </row>
    <row r="66" spans="10:10" x14ac:dyDescent="0.2">
      <c r="J66" s="9"/>
    </row>
    <row r="67" spans="10:10" x14ac:dyDescent="0.2">
      <c r="J67" s="9"/>
    </row>
    <row r="68" spans="10:10" x14ac:dyDescent="0.2">
      <c r="J68" s="9"/>
    </row>
    <row r="69" spans="10:10" x14ac:dyDescent="0.2">
      <c r="J69" s="9"/>
    </row>
    <row r="70" spans="10:10" x14ac:dyDescent="0.2">
      <c r="J70" s="11"/>
    </row>
  </sheetData>
  <pageMargins left="0.7" right="0.7" top="0.75" bottom="0.75" header="0.3" footer="0.3"/>
  <ignoredErrors>
    <ignoredError sqref="E10:E11 E6 E16 E18 I18 I16 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2023-11-29T09:03:14Z</dcterms:created>
  <dcterms:modified xsi:type="dcterms:W3CDTF">2024-03-26T12:41:53Z</dcterms:modified>
</cp:coreProperties>
</file>