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A2C3CDF6-81FE-4D6E-A42B-2E89E73885BB}" xr6:coauthVersionLast="47" xr6:coauthVersionMax="47" xr10:uidLastSave="{00000000-0000-0000-0000-000000000000}"/>
  <bookViews>
    <workbookView xWindow="28680" yWindow="-120" windowWidth="29040" windowHeight="15840" xr2:uid="{7467A3D8-2DA9-4D90-B1CF-62A8C63EEAC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2" i="2" l="1"/>
  <c r="U42" i="2" s="1"/>
  <c r="V42" i="2" s="1"/>
  <c r="W42" i="2" s="1"/>
  <c r="X42" i="2" s="1"/>
  <c r="Y42" i="2" s="1"/>
  <c r="Z42" i="2" s="1"/>
  <c r="AA42" i="2" s="1"/>
  <c r="AB42" i="2" s="1"/>
  <c r="AC42" i="2" s="1"/>
  <c r="AD42" i="2" s="1"/>
  <c r="AE42" i="2" s="1"/>
  <c r="AF42" i="2" s="1"/>
  <c r="AG42" i="2" s="1"/>
  <c r="AH42" i="2" s="1"/>
  <c r="AI42" i="2" s="1"/>
  <c r="AJ42" i="2" s="1"/>
  <c r="AM33" i="2" s="1"/>
  <c r="W18" i="2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AH18" i="2" s="1"/>
  <c r="AI18" i="2" s="1"/>
  <c r="AJ18" i="2" s="1"/>
  <c r="V18" i="2"/>
  <c r="V17" i="2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AH17" i="2" s="1"/>
  <c r="AI17" i="2" s="1"/>
  <c r="AJ17" i="2" s="1"/>
  <c r="U18" i="2"/>
  <c r="U17" i="2"/>
  <c r="V16" i="2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AH16" i="2" s="1"/>
  <c r="AI16" i="2" s="1"/>
  <c r="AJ16" i="2" s="1"/>
  <c r="U16" i="2"/>
  <c r="AB14" i="2"/>
  <c r="AC14" i="2" s="1"/>
  <c r="AD14" i="2" s="1"/>
  <c r="AE14" i="2" s="1"/>
  <c r="AF14" i="2" s="1"/>
  <c r="AG14" i="2" s="1"/>
  <c r="AH14" i="2" s="1"/>
  <c r="AI14" i="2" s="1"/>
  <c r="AJ14" i="2" s="1"/>
  <c r="AA14" i="2"/>
  <c r="V14" i="2"/>
  <c r="W14" i="2" s="1"/>
  <c r="X14" i="2" s="1"/>
  <c r="Y14" i="2" s="1"/>
  <c r="Z14" i="2" s="1"/>
  <c r="U14" i="2"/>
  <c r="AB13" i="2"/>
  <c r="AC13" i="2" s="1"/>
  <c r="AD13" i="2" s="1"/>
  <c r="AE13" i="2" s="1"/>
  <c r="AF13" i="2" s="1"/>
  <c r="AG13" i="2" s="1"/>
  <c r="AH13" i="2" s="1"/>
  <c r="AI13" i="2" s="1"/>
  <c r="AJ13" i="2" s="1"/>
  <c r="AA13" i="2"/>
  <c r="V13" i="2"/>
  <c r="W13" i="2" s="1"/>
  <c r="X13" i="2" s="1"/>
  <c r="Y13" i="2" s="1"/>
  <c r="Z13" i="2" s="1"/>
  <c r="U13" i="2"/>
  <c r="S42" i="2"/>
  <c r="AM36" i="2"/>
  <c r="W27" i="2" l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V27" i="2"/>
  <c r="U27" i="2"/>
  <c r="Z24" i="2"/>
  <c r="Y24" i="2"/>
  <c r="X24" i="2"/>
  <c r="W24" i="2"/>
  <c r="V24" i="2"/>
  <c r="U24" i="2"/>
  <c r="V22" i="2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U22" i="2"/>
  <c r="V21" i="2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U21" i="2"/>
  <c r="U19" i="2"/>
  <c r="U15" i="2"/>
  <c r="AJ15" i="2"/>
  <c r="T31" i="2"/>
  <c r="T30" i="2"/>
  <c r="T29" i="2"/>
  <c r="T26" i="2"/>
  <c r="T27" i="2"/>
  <c r="T25" i="2"/>
  <c r="T24" i="2"/>
  <c r="T23" i="2"/>
  <c r="T22" i="2"/>
  <c r="T21" i="2"/>
  <c r="T20" i="2"/>
  <c r="T19" i="2"/>
  <c r="T18" i="2"/>
  <c r="T17" i="2"/>
  <c r="T16" i="2"/>
  <c r="T15" i="2"/>
  <c r="T14" i="2"/>
  <c r="T13" i="2"/>
  <c r="T12" i="2"/>
  <c r="T11" i="2"/>
  <c r="M40" i="2"/>
  <c r="L40" i="2"/>
  <c r="K40" i="2"/>
  <c r="J40" i="2"/>
  <c r="M26" i="2"/>
  <c r="L26" i="2"/>
  <c r="K26" i="2"/>
  <c r="J26" i="2"/>
  <c r="M25" i="2"/>
  <c r="L25" i="2"/>
  <c r="K25" i="2"/>
  <c r="J25" i="2"/>
  <c r="M23" i="2"/>
  <c r="L23" i="2"/>
  <c r="K23" i="2"/>
  <c r="J23" i="2"/>
  <c r="L22" i="2"/>
  <c r="M22" i="2" s="1"/>
  <c r="K22" i="2"/>
  <c r="J22" i="2"/>
  <c r="M20" i="2"/>
  <c r="L20" i="2"/>
  <c r="K20" i="2"/>
  <c r="J20" i="2"/>
  <c r="M15" i="2"/>
  <c r="L15" i="2"/>
  <c r="K15" i="2"/>
  <c r="L14" i="2"/>
  <c r="M14" i="2" s="1"/>
  <c r="K14" i="2"/>
  <c r="J35" i="2"/>
  <c r="H35" i="2"/>
  <c r="G35" i="2"/>
  <c r="F35" i="2"/>
  <c r="E35" i="2"/>
  <c r="D35" i="2"/>
  <c r="C35" i="2"/>
  <c r="I35" i="2"/>
  <c r="J15" i="2"/>
  <c r="K13" i="2"/>
  <c r="J37" i="2"/>
  <c r="J18" i="2"/>
  <c r="K18" i="2" s="1"/>
  <c r="L18" i="2" s="1"/>
  <c r="M18" i="2" s="1"/>
  <c r="J17" i="2"/>
  <c r="K17" i="2" s="1"/>
  <c r="L17" i="2" s="1"/>
  <c r="M17" i="2" s="1"/>
  <c r="J16" i="2"/>
  <c r="K16" i="2" s="1"/>
  <c r="E38" i="2"/>
  <c r="D38" i="2"/>
  <c r="C38" i="2"/>
  <c r="E37" i="2"/>
  <c r="D37" i="2"/>
  <c r="C37" i="2"/>
  <c r="E36" i="2"/>
  <c r="D36" i="2"/>
  <c r="C36" i="2"/>
  <c r="H38" i="2"/>
  <c r="G38" i="2"/>
  <c r="F38" i="2"/>
  <c r="H37" i="2"/>
  <c r="G37" i="2"/>
  <c r="F37" i="2"/>
  <c r="H36" i="2"/>
  <c r="G36" i="2"/>
  <c r="F36" i="2"/>
  <c r="I38" i="2"/>
  <c r="I37" i="2"/>
  <c r="I36" i="2"/>
  <c r="C7" i="2"/>
  <c r="B7" i="2"/>
  <c r="F7" i="2"/>
  <c r="G7" i="2"/>
  <c r="D7" i="2"/>
  <c r="E7" i="2"/>
  <c r="H7" i="2"/>
  <c r="I7" i="2"/>
  <c r="R38" i="2"/>
  <c r="Q38" i="2"/>
  <c r="R37" i="2"/>
  <c r="Q37" i="2"/>
  <c r="R36" i="2"/>
  <c r="Q36" i="2"/>
  <c r="S38" i="2"/>
  <c r="S37" i="2"/>
  <c r="S36" i="2"/>
  <c r="P19" i="2"/>
  <c r="P13" i="2"/>
  <c r="P15" i="2" s="1"/>
  <c r="Q19" i="2"/>
  <c r="Q13" i="2"/>
  <c r="Q15" i="2" s="1"/>
  <c r="R19" i="2"/>
  <c r="R13" i="2"/>
  <c r="R15" i="2" s="1"/>
  <c r="S19" i="2"/>
  <c r="S13" i="2"/>
  <c r="T40" i="2" s="1"/>
  <c r="C97" i="2"/>
  <c r="C93" i="2"/>
  <c r="C86" i="2"/>
  <c r="C102" i="2" s="1"/>
  <c r="C57" i="2"/>
  <c r="C58" i="2"/>
  <c r="C43" i="2"/>
  <c r="C48" i="2"/>
  <c r="D97" i="2"/>
  <c r="D93" i="2"/>
  <c r="D86" i="2"/>
  <c r="D102" i="2" s="1"/>
  <c r="D58" i="2"/>
  <c r="D57" i="2"/>
  <c r="D48" i="2"/>
  <c r="D43" i="2"/>
  <c r="D42" i="2" s="1"/>
  <c r="E97" i="2"/>
  <c r="E93" i="2"/>
  <c r="E86" i="2"/>
  <c r="E102" i="2" s="1"/>
  <c r="E58" i="2"/>
  <c r="E57" i="2"/>
  <c r="E48" i="2"/>
  <c r="E43" i="2"/>
  <c r="E42" i="2" s="1"/>
  <c r="H93" i="2"/>
  <c r="I97" i="2"/>
  <c r="I93" i="2"/>
  <c r="I86" i="2"/>
  <c r="I102" i="2" s="1"/>
  <c r="I58" i="2"/>
  <c r="I57" i="2"/>
  <c r="I48" i="2"/>
  <c r="I43" i="2"/>
  <c r="I42" i="2" s="1"/>
  <c r="H97" i="2"/>
  <c r="H86" i="2"/>
  <c r="G97" i="2"/>
  <c r="G93" i="2"/>
  <c r="G86" i="2"/>
  <c r="G58" i="2"/>
  <c r="G57" i="2"/>
  <c r="G48" i="2"/>
  <c r="G43" i="2"/>
  <c r="G42" i="2" s="1"/>
  <c r="H58" i="2"/>
  <c r="H57" i="2"/>
  <c r="H48" i="2"/>
  <c r="H43" i="2"/>
  <c r="H42" i="2" s="1"/>
  <c r="B97" i="2"/>
  <c r="B93" i="2"/>
  <c r="B86" i="2"/>
  <c r="B102" i="2" s="1"/>
  <c r="F97" i="2"/>
  <c r="F93" i="2"/>
  <c r="F86" i="2"/>
  <c r="F102" i="2" s="1"/>
  <c r="B58" i="2"/>
  <c r="B57" i="2"/>
  <c r="B48" i="2"/>
  <c r="B43" i="2"/>
  <c r="F58" i="2"/>
  <c r="F57" i="2"/>
  <c r="F48" i="2"/>
  <c r="F43" i="2"/>
  <c r="F42" i="2" s="1"/>
  <c r="B19" i="2"/>
  <c r="B13" i="2"/>
  <c r="B15" i="2" s="1"/>
  <c r="F19" i="2"/>
  <c r="F13" i="2"/>
  <c r="F15" i="2" s="1"/>
  <c r="F29" i="2" s="1"/>
  <c r="C19" i="2"/>
  <c r="C13" i="2"/>
  <c r="C15" i="2" s="1"/>
  <c r="G19" i="2"/>
  <c r="G13" i="2"/>
  <c r="G15" i="2" s="1"/>
  <c r="D19" i="2"/>
  <c r="D13" i="2"/>
  <c r="D15" i="2" s="1"/>
  <c r="H19" i="2"/>
  <c r="H13" i="2"/>
  <c r="H15" i="2" s="1"/>
  <c r="E19" i="2"/>
  <c r="E13" i="2"/>
  <c r="E15" i="2" s="1"/>
  <c r="I19" i="2"/>
  <c r="I14" i="2"/>
  <c r="I13" i="2"/>
  <c r="J34" i="2" s="1"/>
  <c r="Q3" i="2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D8" i="1"/>
  <c r="D6" i="1"/>
  <c r="D5" i="1"/>
  <c r="AJ19" i="2" l="1"/>
  <c r="Z19" i="2"/>
  <c r="AA19" i="2"/>
  <c r="AB19" i="2"/>
  <c r="AC19" i="2"/>
  <c r="AD19" i="2"/>
  <c r="AE19" i="2"/>
  <c r="AF19" i="2"/>
  <c r="AG19" i="2"/>
  <c r="V19" i="2"/>
  <c r="AH19" i="2"/>
  <c r="AJ20" i="2"/>
  <c r="AJ23" i="2" s="1"/>
  <c r="AJ24" i="2" s="1"/>
  <c r="AJ25" i="2" s="1"/>
  <c r="W19" i="2"/>
  <c r="AI19" i="2"/>
  <c r="X19" i="2"/>
  <c r="Y19" i="2"/>
  <c r="AD15" i="2"/>
  <c r="AE15" i="2"/>
  <c r="U20" i="2"/>
  <c r="U23" i="2" s="1"/>
  <c r="U25" i="2" s="1"/>
  <c r="V15" i="2"/>
  <c r="AH15" i="2"/>
  <c r="W15" i="2"/>
  <c r="AI15" i="2"/>
  <c r="AF15" i="2"/>
  <c r="AF20" i="2" s="1"/>
  <c r="AF23" i="2" s="1"/>
  <c r="X15" i="2"/>
  <c r="AC15" i="2"/>
  <c r="Y15" i="2"/>
  <c r="Z15" i="2"/>
  <c r="Z20" i="2" s="1"/>
  <c r="Z23" i="2" s="1"/>
  <c r="Z25" i="2" s="1"/>
  <c r="Z26" i="2" s="1"/>
  <c r="AA15" i="2"/>
  <c r="AA20" i="2" s="1"/>
  <c r="AA23" i="2" s="1"/>
  <c r="AG15" i="2"/>
  <c r="AB15" i="2"/>
  <c r="AB20" i="2" s="1"/>
  <c r="AB23" i="2" s="1"/>
  <c r="J38" i="2"/>
  <c r="I34" i="2"/>
  <c r="L13" i="2"/>
  <c r="C34" i="2"/>
  <c r="K12" i="2"/>
  <c r="K11" i="2" s="1"/>
  <c r="D34" i="2"/>
  <c r="E34" i="2"/>
  <c r="F34" i="2"/>
  <c r="J36" i="2"/>
  <c r="G34" i="2"/>
  <c r="H34" i="2"/>
  <c r="L16" i="2"/>
  <c r="K19" i="2"/>
  <c r="J19" i="2"/>
  <c r="E8" i="2"/>
  <c r="I8" i="2"/>
  <c r="D8" i="2"/>
  <c r="G8" i="2"/>
  <c r="C8" i="2"/>
  <c r="H8" i="2"/>
  <c r="F8" i="2"/>
  <c r="C61" i="2"/>
  <c r="I61" i="2"/>
  <c r="G100" i="2"/>
  <c r="B53" i="2"/>
  <c r="D61" i="2"/>
  <c r="E53" i="2"/>
  <c r="E61" i="2"/>
  <c r="G53" i="2"/>
  <c r="E100" i="2"/>
  <c r="D100" i="2"/>
  <c r="G61" i="2"/>
  <c r="D53" i="2"/>
  <c r="S40" i="2"/>
  <c r="G102" i="2"/>
  <c r="I15" i="2"/>
  <c r="I20" i="2" s="1"/>
  <c r="I100" i="2"/>
  <c r="H100" i="2"/>
  <c r="Q40" i="2"/>
  <c r="R40" i="2"/>
  <c r="I53" i="2"/>
  <c r="C100" i="2"/>
  <c r="F61" i="2"/>
  <c r="C53" i="2"/>
  <c r="S15" i="2"/>
  <c r="I40" i="2"/>
  <c r="P29" i="2"/>
  <c r="P20" i="2"/>
  <c r="Q29" i="2"/>
  <c r="Q20" i="2"/>
  <c r="R29" i="2"/>
  <c r="R20" i="2"/>
  <c r="C42" i="2"/>
  <c r="H102" i="2"/>
  <c r="F53" i="2"/>
  <c r="B100" i="2"/>
  <c r="F40" i="2"/>
  <c r="G40" i="2"/>
  <c r="H40" i="2"/>
  <c r="H53" i="2"/>
  <c r="F100" i="2"/>
  <c r="H61" i="2"/>
  <c r="B61" i="2"/>
  <c r="B42" i="2"/>
  <c r="B29" i="2"/>
  <c r="B20" i="2"/>
  <c r="F20" i="2"/>
  <c r="C20" i="2"/>
  <c r="C29" i="2"/>
  <c r="G20" i="2"/>
  <c r="G29" i="2"/>
  <c r="D29" i="2"/>
  <c r="D20" i="2"/>
  <c r="H29" i="2"/>
  <c r="H20" i="2"/>
  <c r="E29" i="2"/>
  <c r="E20" i="2"/>
  <c r="AC20" i="2" l="1"/>
  <c r="AC23" i="2" s="1"/>
  <c r="Y20" i="2"/>
  <c r="Y23" i="2" s="1"/>
  <c r="Y25" i="2" s="1"/>
  <c r="Y26" i="2" s="1"/>
  <c r="AE20" i="2"/>
  <c r="AE23" i="2" s="1"/>
  <c r="AH20" i="2"/>
  <c r="AH23" i="2" s="1"/>
  <c r="AH24" i="2" s="1"/>
  <c r="AH25" i="2" s="1"/>
  <c r="AH26" i="2" s="1"/>
  <c r="AD20" i="2"/>
  <c r="AD23" i="2" s="1"/>
  <c r="W20" i="2"/>
  <c r="W23" i="2" s="1"/>
  <c r="W25" i="2" s="1"/>
  <c r="W26" i="2" s="1"/>
  <c r="X20" i="2"/>
  <c r="X23" i="2" s="1"/>
  <c r="X25" i="2" s="1"/>
  <c r="X26" i="2" s="1"/>
  <c r="V20" i="2"/>
  <c r="V23" i="2" s="1"/>
  <c r="V25" i="2" s="1"/>
  <c r="V26" i="2" s="1"/>
  <c r="AG20" i="2"/>
  <c r="AG23" i="2" s="1"/>
  <c r="AG24" i="2" s="1"/>
  <c r="AG25" i="2" s="1"/>
  <c r="AG26" i="2" s="1"/>
  <c r="AI20" i="2"/>
  <c r="AI23" i="2" s="1"/>
  <c r="AI24" i="2" s="1"/>
  <c r="AI25" i="2" s="1"/>
  <c r="AI26" i="2" s="1"/>
  <c r="AF24" i="2"/>
  <c r="AF25" i="2" s="1"/>
  <c r="AF26" i="2" s="1"/>
  <c r="AB24" i="2"/>
  <c r="AB25" i="2" s="1"/>
  <c r="AB26" i="2" s="1"/>
  <c r="AK25" i="2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EG25" i="2" s="1"/>
  <c r="AJ26" i="2"/>
  <c r="AE24" i="2"/>
  <c r="AE25" i="2" s="1"/>
  <c r="AE26" i="2" s="1"/>
  <c r="AA24" i="2"/>
  <c r="AA25" i="2" s="1"/>
  <c r="U26" i="2"/>
  <c r="AD24" i="2"/>
  <c r="AD25" i="2" s="1"/>
  <c r="AD26" i="2" s="1"/>
  <c r="AC24" i="2"/>
  <c r="AC25" i="2" s="1"/>
  <c r="AC26" i="2" s="1"/>
  <c r="M13" i="2"/>
  <c r="L12" i="2"/>
  <c r="L11" i="2" s="1"/>
  <c r="M16" i="2"/>
  <c r="M19" i="2" s="1"/>
  <c r="L19" i="2"/>
  <c r="D62" i="2"/>
  <c r="D63" i="2" s="1"/>
  <c r="I62" i="2"/>
  <c r="I63" i="2" s="1"/>
  <c r="C62" i="2"/>
  <c r="C63" i="2" s="1"/>
  <c r="G62" i="2"/>
  <c r="G63" i="2" s="1"/>
  <c r="H62" i="2"/>
  <c r="H63" i="2" s="1"/>
  <c r="E62" i="2"/>
  <c r="E63" i="2" s="1"/>
  <c r="F62" i="2"/>
  <c r="F63" i="2" s="1"/>
  <c r="I29" i="2"/>
  <c r="S20" i="2"/>
  <c r="S29" i="2"/>
  <c r="P30" i="2"/>
  <c r="P23" i="2"/>
  <c r="P25" i="2" s="1"/>
  <c r="Q23" i="2"/>
  <c r="Q25" i="2" s="1"/>
  <c r="Q30" i="2"/>
  <c r="R23" i="2"/>
  <c r="R25" i="2" s="1"/>
  <c r="R30" i="2"/>
  <c r="B62" i="2"/>
  <c r="B63" i="2" s="1"/>
  <c r="B23" i="2"/>
  <c r="B30" i="2"/>
  <c r="F30" i="2"/>
  <c r="F23" i="2"/>
  <c r="I30" i="2"/>
  <c r="I23" i="2"/>
  <c r="I25" i="2" s="1"/>
  <c r="C30" i="2"/>
  <c r="C23" i="2"/>
  <c r="G23" i="2"/>
  <c r="G30" i="2"/>
  <c r="D30" i="2"/>
  <c r="D23" i="2"/>
  <c r="H30" i="2"/>
  <c r="H23" i="2"/>
  <c r="E30" i="2"/>
  <c r="E23" i="2"/>
  <c r="AA26" i="2" l="1"/>
  <c r="AM32" i="2"/>
  <c r="AM34" i="2" s="1"/>
  <c r="AM35" i="2" s="1"/>
  <c r="M12" i="2"/>
  <c r="M11" i="2" s="1"/>
  <c r="S23" i="2"/>
  <c r="S25" i="2" s="1"/>
  <c r="S30" i="2"/>
  <c r="I31" i="2"/>
  <c r="I65" i="2"/>
  <c r="P31" i="2"/>
  <c r="P26" i="2"/>
  <c r="Q31" i="2"/>
  <c r="Q26" i="2"/>
  <c r="R31" i="2"/>
  <c r="R26" i="2"/>
  <c r="B32" i="2"/>
  <c r="B25" i="2"/>
  <c r="B65" i="2" s="1"/>
  <c r="F25" i="2"/>
  <c r="F65" i="2" s="1"/>
  <c r="E25" i="2"/>
  <c r="E65" i="2" s="1"/>
  <c r="H25" i="2"/>
  <c r="H65" i="2" s="1"/>
  <c r="I26" i="2"/>
  <c r="C25" i="2"/>
  <c r="C65" i="2" s="1"/>
  <c r="G25" i="2"/>
  <c r="G65" i="2" s="1"/>
  <c r="D25" i="2"/>
  <c r="D65" i="2" s="1"/>
  <c r="E31" i="2" l="1"/>
  <c r="E26" i="2"/>
  <c r="S31" i="2"/>
  <c r="S26" i="2"/>
  <c r="H31" i="2"/>
  <c r="B31" i="2"/>
  <c r="B26" i="2"/>
  <c r="F26" i="2"/>
  <c r="F31" i="2"/>
  <c r="H26" i="2"/>
  <c r="C31" i="2"/>
  <c r="C26" i="2"/>
  <c r="G26" i="2"/>
  <c r="G31" i="2"/>
  <c r="D31" i="2"/>
  <c r="D26" i="2"/>
</calcChain>
</file>

<file path=xl/sharedStrings.xml><?xml version="1.0" encoding="utf-8"?>
<sst xmlns="http://schemas.openxmlformats.org/spreadsheetml/2006/main" count="146" uniqueCount="107">
  <si>
    <t>Elasticsearch</t>
  </si>
  <si>
    <t>(ESTC)</t>
  </si>
  <si>
    <t>(in millions)</t>
  </si>
  <si>
    <t>Price</t>
  </si>
  <si>
    <t>Shares</t>
  </si>
  <si>
    <t>MC</t>
  </si>
  <si>
    <t>Cash</t>
  </si>
  <si>
    <t>Debt</t>
  </si>
  <si>
    <t>EV</t>
  </si>
  <si>
    <t>04/30/22</t>
  </si>
  <si>
    <t>04/30/23</t>
  </si>
  <si>
    <t>Q422</t>
  </si>
  <si>
    <t>Q423</t>
  </si>
  <si>
    <t>Q122</t>
  </si>
  <si>
    <t>Q222</t>
  </si>
  <si>
    <t>Q322</t>
  </si>
  <si>
    <t>Q123</t>
  </si>
  <si>
    <t>Q223</t>
  </si>
  <si>
    <t>Q323</t>
  </si>
  <si>
    <t>Q124</t>
  </si>
  <si>
    <t>Q224</t>
  </si>
  <si>
    <t>Q324</t>
  </si>
  <si>
    <t>04/30/24</t>
  </si>
  <si>
    <t>01/31/24</t>
  </si>
  <si>
    <t>Revenue</t>
  </si>
  <si>
    <t>Subscription</t>
  </si>
  <si>
    <t>Services</t>
  </si>
  <si>
    <t>COGS</t>
  </si>
  <si>
    <t>Gross profit</t>
  </si>
  <si>
    <t>R&amp;D</t>
  </si>
  <si>
    <t>S&amp;M</t>
  </si>
  <si>
    <t>G&amp;A</t>
  </si>
  <si>
    <t>Operating expense</t>
  </si>
  <si>
    <t>Operating profit (loss)</t>
  </si>
  <si>
    <t>Interest expense</t>
  </si>
  <si>
    <t>Other</t>
  </si>
  <si>
    <t>Pretax income</t>
  </si>
  <si>
    <t>Taxes</t>
  </si>
  <si>
    <t>Net income</t>
  </si>
  <si>
    <t>EPS</t>
  </si>
  <si>
    <t>Gross margin</t>
  </si>
  <si>
    <t>Operating margin</t>
  </si>
  <si>
    <t>Net margin</t>
  </si>
  <si>
    <t>Taxe rate</t>
  </si>
  <si>
    <t>Revenue y/y</t>
  </si>
  <si>
    <t>01/31/23</t>
  </si>
  <si>
    <t>10/31/23</t>
  </si>
  <si>
    <t>Annual</t>
  </si>
  <si>
    <t>N/A</t>
  </si>
  <si>
    <t>10/31/22</t>
  </si>
  <si>
    <t>07/31/23</t>
  </si>
  <si>
    <t>A/R</t>
  </si>
  <si>
    <t>D/R</t>
  </si>
  <si>
    <t>Prepaid</t>
  </si>
  <si>
    <t>PP&amp;E</t>
  </si>
  <si>
    <t>Goodwill</t>
  </si>
  <si>
    <t>Lease</t>
  </si>
  <si>
    <t>DCA</t>
  </si>
  <si>
    <t>D/T</t>
  </si>
  <si>
    <t>Total assets</t>
  </si>
  <si>
    <t>A/P</t>
  </si>
  <si>
    <t>Accrued expense</t>
  </si>
  <si>
    <t>Accrued compensation</t>
  </si>
  <si>
    <t>Total liabilities</t>
  </si>
  <si>
    <t>S/E</t>
  </si>
  <si>
    <t>L+S/E</t>
  </si>
  <si>
    <t>Model NI</t>
  </si>
  <si>
    <t>Reported NI</t>
  </si>
  <si>
    <t>D&amp;A</t>
  </si>
  <si>
    <t>Amor on securities</t>
  </si>
  <si>
    <t>Amor acquisition cost</t>
  </si>
  <si>
    <t>Amor debt cost</t>
  </si>
  <si>
    <t>Impairment</t>
  </si>
  <si>
    <t>SBC</t>
  </si>
  <si>
    <t>FCT</t>
  </si>
  <si>
    <t>Deferred acquisition cost</t>
  </si>
  <si>
    <t>Accrued C&amp;B</t>
  </si>
  <si>
    <t>CFFO</t>
  </si>
  <si>
    <t>CapEx</t>
  </si>
  <si>
    <t>CIUS</t>
  </si>
  <si>
    <t>Acquisition</t>
  </si>
  <si>
    <t>CFFI</t>
  </si>
  <si>
    <t>Issuance of stock options</t>
  </si>
  <si>
    <t>CFFF</t>
  </si>
  <si>
    <t>CIC</t>
  </si>
  <si>
    <t>FX</t>
  </si>
  <si>
    <t>CFFO+CapEx-SBC</t>
  </si>
  <si>
    <t>Maturities securities</t>
  </si>
  <si>
    <t>Purchases securities</t>
  </si>
  <si>
    <t>Issuance of SBC</t>
  </si>
  <si>
    <t>Net cash</t>
  </si>
  <si>
    <t>Customer ACV &lt; 100.000</t>
  </si>
  <si>
    <t>Subscription count</t>
  </si>
  <si>
    <t>ARPU</t>
  </si>
  <si>
    <t>ARPU q/q</t>
  </si>
  <si>
    <t>R&amp;D q/q</t>
  </si>
  <si>
    <t>S&amp;M q/q/</t>
  </si>
  <si>
    <t>G&amp;A q/q</t>
  </si>
  <si>
    <t>Revenue q/q</t>
  </si>
  <si>
    <t>COGS q/q</t>
  </si>
  <si>
    <t>Discount</t>
  </si>
  <si>
    <t>Maturity</t>
  </si>
  <si>
    <t>NPV</t>
  </si>
  <si>
    <t>Total value</t>
  </si>
  <si>
    <t>Current Price</t>
  </si>
  <si>
    <t>Per share</t>
  </si>
  <si>
    <t>RIOC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</si>
</sst>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2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1" applyFont="1"/>
    <xf numFmtId="10" fontId="0" fillId="0" borderId="0" xfId="1" applyNumberFormat="1" applyFont="1"/>
    <xf numFmtId="3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0" fillId="2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3" fontId="3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left"/>
    </xf>
    <xf numFmtId="9" fontId="0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2" fillId="0" borderId="0" xfId="1" applyFont="1" applyAlignment="1">
      <alignment horizontal="right"/>
    </xf>
    <xf numFmtId="3" fontId="0" fillId="0" borderId="0" xfId="1" applyNumberFormat="1" applyFont="1" applyAlignment="1">
      <alignment horizontal="right"/>
    </xf>
    <xf numFmtId="1" fontId="0" fillId="0" borderId="0" xfId="1" applyNumberFormat="1" applyFont="1" applyAlignment="1">
      <alignment horizontal="right"/>
    </xf>
    <xf numFmtId="9" fontId="0" fillId="0" borderId="0" xfId="1" applyFont="1" applyAlignme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19050</xdr:rowOff>
    </xdr:from>
    <xdr:to>
      <xdr:col>9</xdr:col>
      <xdr:colOff>19050</xdr:colOff>
      <xdr:row>108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1A913A8-5606-B1E6-1312-AEB0C5A932C3}"/>
            </a:ext>
          </a:extLst>
        </xdr:cNvPr>
        <xdr:cNvCxnSpPr/>
      </xdr:nvCxnSpPr>
      <xdr:spPr>
        <a:xfrm>
          <a:off x="7134225" y="19050"/>
          <a:ext cx="0" cy="1650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</xdr:colOff>
      <xdr:row>0</xdr:row>
      <xdr:rowOff>38100</xdr:rowOff>
    </xdr:from>
    <xdr:to>
      <xdr:col>19</xdr:col>
      <xdr:colOff>19050</xdr:colOff>
      <xdr:row>108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82ECC42-8993-49EA-8E47-AF7187BB7301}"/>
            </a:ext>
          </a:extLst>
        </xdr:cNvPr>
        <xdr:cNvCxnSpPr/>
      </xdr:nvCxnSpPr>
      <xdr:spPr>
        <a:xfrm>
          <a:off x="13230225" y="38100"/>
          <a:ext cx="0" cy="16506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C30D6-D30E-4EB6-A1FE-A45CF0CFBC23}">
  <dimension ref="A1:G8"/>
  <sheetViews>
    <sheetView tabSelected="1" workbookViewId="0">
      <selection activeCell="F13" sqref="F13"/>
    </sheetView>
  </sheetViews>
  <sheetFormatPr defaultRowHeight="12.75" x14ac:dyDescent="0.2"/>
  <cols>
    <col min="1" max="1" width="33.7109375" bestFit="1" customWidth="1"/>
    <col min="7" max="7" width="10.28515625" bestFit="1" customWidth="1"/>
  </cols>
  <sheetData>
    <row r="1" spans="1:7" ht="34.5" x14ac:dyDescent="0.45">
      <c r="A1" s="1" t="s">
        <v>0</v>
      </c>
    </row>
    <row r="2" spans="1:7" x14ac:dyDescent="0.2">
      <c r="A2" t="s">
        <v>1</v>
      </c>
    </row>
    <row r="3" spans="1:7" x14ac:dyDescent="0.2">
      <c r="A3" t="s">
        <v>2</v>
      </c>
      <c r="C3" t="s">
        <v>3</v>
      </c>
      <c r="D3">
        <v>102</v>
      </c>
      <c r="E3" s="3"/>
    </row>
    <row r="4" spans="1:7" x14ac:dyDescent="0.2">
      <c r="C4" t="s">
        <v>4</v>
      </c>
      <c r="D4" s="2">
        <v>100.807523</v>
      </c>
      <c r="E4" s="3" t="s">
        <v>18</v>
      </c>
    </row>
    <row r="5" spans="1:7" x14ac:dyDescent="0.2">
      <c r="C5" t="s">
        <v>5</v>
      </c>
      <c r="D5" s="2">
        <f>+D4*D3</f>
        <v>10282.367346000001</v>
      </c>
      <c r="E5" s="3"/>
    </row>
    <row r="6" spans="1:7" x14ac:dyDescent="0.2">
      <c r="C6" t="s">
        <v>6</v>
      </c>
      <c r="D6" s="2">
        <f>526.893+2.774+488.133</f>
        <v>1017.8</v>
      </c>
      <c r="E6" s="3" t="s">
        <v>18</v>
      </c>
      <c r="G6" s="6"/>
    </row>
    <row r="7" spans="1:7" x14ac:dyDescent="0.2">
      <c r="C7" t="s">
        <v>7</v>
      </c>
      <c r="D7" s="2">
        <v>568.34100000000001</v>
      </c>
      <c r="E7" s="3" t="s">
        <v>18</v>
      </c>
      <c r="G7" s="5"/>
    </row>
    <row r="8" spans="1:7" x14ac:dyDescent="0.2">
      <c r="C8" t="s">
        <v>8</v>
      </c>
      <c r="D8" s="2">
        <f>+D5-D6+D7</f>
        <v>9832.908346000002</v>
      </c>
      <c r="E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FDDC-F9E4-4761-BA10-965C82ED054B}">
  <dimension ref="A1:EG1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S25" sqref="S25"/>
    </sheetView>
  </sheetViews>
  <sheetFormatPr defaultRowHeight="12.75" x14ac:dyDescent="0.2"/>
  <cols>
    <col min="1" max="1" width="33.7109375" style="13" bestFit="1" customWidth="1"/>
    <col min="2" max="2" width="9" style="13" customWidth="1"/>
    <col min="3" max="8" width="9.140625" style="4"/>
    <col min="9" max="9" width="9.28515625" style="4" customWidth="1"/>
    <col min="10" max="37" width="9.140625" style="4"/>
    <col min="38" max="38" width="11.85546875" style="4" bestFit="1" customWidth="1"/>
    <col min="39" max="39" width="10.42578125" style="4" customWidth="1"/>
    <col min="40" max="16384" width="9.140625" style="4"/>
  </cols>
  <sheetData>
    <row r="1" spans="1:36" s="7" customFormat="1" ht="34.5" x14ac:dyDescent="0.45">
      <c r="A1" s="12" t="s">
        <v>0</v>
      </c>
      <c r="B1" s="7" t="s">
        <v>47</v>
      </c>
      <c r="F1" s="7" t="s">
        <v>47</v>
      </c>
      <c r="J1" s="7" t="s">
        <v>47</v>
      </c>
    </row>
    <row r="2" spans="1:36" x14ac:dyDescent="0.2">
      <c r="A2" s="13" t="s">
        <v>1</v>
      </c>
      <c r="B2" s="4" t="s">
        <v>9</v>
      </c>
      <c r="C2" s="4" t="s">
        <v>50</v>
      </c>
      <c r="D2" s="4" t="s">
        <v>49</v>
      </c>
      <c r="E2" s="4" t="s">
        <v>45</v>
      </c>
      <c r="F2" s="4" t="s">
        <v>10</v>
      </c>
      <c r="G2" s="4" t="s">
        <v>50</v>
      </c>
      <c r="H2" s="4" t="s">
        <v>46</v>
      </c>
      <c r="I2" s="4" t="s">
        <v>23</v>
      </c>
      <c r="J2" s="4" t="s">
        <v>22</v>
      </c>
    </row>
    <row r="3" spans="1:36" x14ac:dyDescent="0.2">
      <c r="A3" s="13" t="s">
        <v>2</v>
      </c>
      <c r="B3" s="4" t="s">
        <v>11</v>
      </c>
      <c r="C3" s="4" t="s">
        <v>13</v>
      </c>
      <c r="D3" s="4" t="s">
        <v>14</v>
      </c>
      <c r="E3" s="4" t="s">
        <v>15</v>
      </c>
      <c r="F3" s="4" t="s">
        <v>11</v>
      </c>
      <c r="G3" s="4" t="s">
        <v>16</v>
      </c>
      <c r="H3" s="4" t="s">
        <v>17</v>
      </c>
      <c r="I3" s="4" t="s">
        <v>18</v>
      </c>
      <c r="J3" s="4" t="s">
        <v>12</v>
      </c>
      <c r="K3" s="4" t="s">
        <v>19</v>
      </c>
      <c r="L3" s="4" t="s">
        <v>20</v>
      </c>
      <c r="M3" s="4" t="s">
        <v>21</v>
      </c>
      <c r="P3" s="3">
        <v>2020</v>
      </c>
      <c r="Q3" s="3">
        <f t="shared" ref="Q3:AJ3" si="0">+P3+1</f>
        <v>2021</v>
      </c>
      <c r="R3" s="3">
        <f t="shared" si="0"/>
        <v>2022</v>
      </c>
      <c r="S3" s="3">
        <f t="shared" si="0"/>
        <v>2023</v>
      </c>
      <c r="T3" s="3">
        <f t="shared" si="0"/>
        <v>2024</v>
      </c>
      <c r="U3" s="3">
        <f t="shared" si="0"/>
        <v>2025</v>
      </c>
      <c r="V3" s="3">
        <f t="shared" si="0"/>
        <v>2026</v>
      </c>
      <c r="W3" s="3">
        <f t="shared" si="0"/>
        <v>2027</v>
      </c>
      <c r="X3" s="3">
        <f t="shared" si="0"/>
        <v>2028</v>
      </c>
      <c r="Y3" s="3">
        <f t="shared" si="0"/>
        <v>2029</v>
      </c>
      <c r="Z3" s="3">
        <f t="shared" si="0"/>
        <v>2030</v>
      </c>
      <c r="AA3" s="3">
        <f t="shared" si="0"/>
        <v>2031</v>
      </c>
      <c r="AB3" s="3">
        <f t="shared" si="0"/>
        <v>2032</v>
      </c>
      <c r="AC3" s="3">
        <f t="shared" si="0"/>
        <v>2033</v>
      </c>
      <c r="AD3" s="3">
        <f t="shared" si="0"/>
        <v>2034</v>
      </c>
      <c r="AE3" s="3">
        <f t="shared" si="0"/>
        <v>2035</v>
      </c>
      <c r="AF3" s="3">
        <f t="shared" si="0"/>
        <v>2036</v>
      </c>
      <c r="AG3" s="3">
        <f t="shared" si="0"/>
        <v>2037</v>
      </c>
      <c r="AH3" s="3">
        <f t="shared" si="0"/>
        <v>2038</v>
      </c>
      <c r="AI3" s="3">
        <f t="shared" si="0"/>
        <v>2039</v>
      </c>
      <c r="AJ3" s="3">
        <f t="shared" si="0"/>
        <v>2040</v>
      </c>
    </row>
    <row r="4" spans="1:36" x14ac:dyDescent="0.2">
      <c r="B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">
      <c r="A5" s="13" t="s">
        <v>91</v>
      </c>
      <c r="B5" s="4">
        <v>960</v>
      </c>
      <c r="C5" s="4">
        <v>1010</v>
      </c>
      <c r="D5" s="4">
        <v>1050</v>
      </c>
      <c r="E5" s="4">
        <v>1110</v>
      </c>
      <c r="F5" s="4">
        <v>1160</v>
      </c>
      <c r="G5" s="4">
        <v>1190</v>
      </c>
      <c r="H5" s="4">
        <v>1220</v>
      </c>
      <c r="I5" s="4">
        <v>1270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">
      <c r="A6" s="13" t="s">
        <v>92</v>
      </c>
      <c r="B6" s="3">
        <v>18600</v>
      </c>
      <c r="C6" s="3">
        <v>19300</v>
      </c>
      <c r="D6" s="3">
        <v>19700</v>
      </c>
      <c r="E6" s="3">
        <v>19900</v>
      </c>
      <c r="F6" s="3">
        <v>20200</v>
      </c>
      <c r="G6" s="3">
        <v>20500</v>
      </c>
      <c r="H6" s="3">
        <v>20700</v>
      </c>
      <c r="I6" s="3">
        <v>20800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">
      <c r="A7" s="13" t="s">
        <v>93</v>
      </c>
      <c r="B7" s="4">
        <f t="shared" ref="B7:I7" si="1">+B11/B6*1000000/4</f>
        <v>2980.0268817204301</v>
      </c>
      <c r="C7" s="4">
        <f t="shared" si="1"/>
        <v>3002.7720207253883</v>
      </c>
      <c r="D7" s="4">
        <f t="shared" si="1"/>
        <v>3061.053299492386</v>
      </c>
      <c r="E7" s="4">
        <f t="shared" si="1"/>
        <v>3211.218592964824</v>
      </c>
      <c r="F7" s="4">
        <f t="shared" si="1"/>
        <v>3169.8514851485152</v>
      </c>
      <c r="G7" s="4">
        <f t="shared" si="1"/>
        <v>3295.6951219512193</v>
      </c>
      <c r="H7" s="4">
        <f t="shared" si="1"/>
        <v>3475.1570048309177</v>
      </c>
      <c r="I7" s="4">
        <f t="shared" si="1"/>
        <v>3697.5000000000005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s="8" customFormat="1" x14ac:dyDescent="0.2">
      <c r="A8" s="15" t="s">
        <v>94</v>
      </c>
      <c r="C8" s="8">
        <f t="shared" ref="C8:H8" si="2">+C7/B7-1</f>
        <v>7.6325281306948156E-3</v>
      </c>
      <c r="D8" s="8">
        <f t="shared" si="2"/>
        <v>1.9409158725582687E-2</v>
      </c>
      <c r="E8" s="8">
        <f t="shared" si="2"/>
        <v>4.9056739226768675E-2</v>
      </c>
      <c r="F8" s="8">
        <f t="shared" si="2"/>
        <v>-1.2882059136969493E-2</v>
      </c>
      <c r="G8" s="8">
        <f t="shared" si="2"/>
        <v>3.9700168096931554E-2</v>
      </c>
      <c r="H8" s="8">
        <f t="shared" si="2"/>
        <v>5.4453423705481452E-2</v>
      </c>
      <c r="I8" s="8">
        <f>+I7/H7-1</f>
        <v>6.3980705004118343E-2</v>
      </c>
    </row>
    <row r="9" spans="1:36" x14ac:dyDescent="0.2">
      <c r="B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s="8" customFormat="1" x14ac:dyDescent="0.2">
      <c r="A10" s="15"/>
    </row>
    <row r="11" spans="1:36" x14ac:dyDescent="0.2">
      <c r="A11" s="13" t="s">
        <v>25</v>
      </c>
      <c r="B11" s="4">
        <v>221.714</v>
      </c>
      <c r="C11" s="4">
        <v>231.81399999999999</v>
      </c>
      <c r="D11" s="4">
        <v>241.21100000000001</v>
      </c>
      <c r="E11" s="4">
        <v>255.613</v>
      </c>
      <c r="F11" s="4">
        <v>256.12400000000002</v>
      </c>
      <c r="G11" s="4">
        <v>270.24700000000001</v>
      </c>
      <c r="H11" s="4">
        <v>287.74299999999999</v>
      </c>
      <c r="I11" s="4">
        <v>307.63200000000001</v>
      </c>
      <c r="J11" s="4">
        <v>310</v>
      </c>
      <c r="K11" s="4">
        <f>+K13-K12</f>
        <v>322.608</v>
      </c>
      <c r="L11" s="4">
        <f t="shared" ref="L11:M11" si="3">+L13-L12</f>
        <v>335.51231999999999</v>
      </c>
      <c r="M11" s="4">
        <f t="shared" si="3"/>
        <v>348.93281280000002</v>
      </c>
      <c r="P11" s="4">
        <v>392.17</v>
      </c>
      <c r="Q11" s="4">
        <v>567.33900000000006</v>
      </c>
      <c r="R11" s="4">
        <v>798.77</v>
      </c>
      <c r="S11" s="4">
        <v>984.76199999999994</v>
      </c>
      <c r="T11" s="4">
        <f>SUM(G11:J11)</f>
        <v>1175.6220000000001</v>
      </c>
    </row>
    <row r="12" spans="1:36" x14ac:dyDescent="0.2">
      <c r="A12" s="13" t="s">
        <v>26</v>
      </c>
      <c r="B12" s="4">
        <v>17.640999999999998</v>
      </c>
      <c r="C12" s="4">
        <v>18.266999999999999</v>
      </c>
      <c r="D12" s="4">
        <v>23.19</v>
      </c>
      <c r="E12" s="4">
        <v>18.952999999999999</v>
      </c>
      <c r="F12" s="4">
        <v>23.817</v>
      </c>
      <c r="G12" s="4">
        <v>23.506</v>
      </c>
      <c r="H12" s="4">
        <v>22.869</v>
      </c>
      <c r="I12" s="4">
        <v>20.324999999999999</v>
      </c>
      <c r="J12" s="4">
        <v>18</v>
      </c>
      <c r="K12" s="4">
        <f>+K13*0.06</f>
        <v>20.591999999999999</v>
      </c>
      <c r="L12" s="4">
        <f t="shared" ref="L12:M12" si="4">+L13*0.06</f>
        <v>21.415679999999998</v>
      </c>
      <c r="M12" s="4">
        <f t="shared" si="4"/>
        <v>22.2723072</v>
      </c>
      <c r="P12" s="4">
        <v>35.450000000000003</v>
      </c>
      <c r="Q12" s="4">
        <v>41.15</v>
      </c>
      <c r="R12" s="4">
        <v>63.603999999999999</v>
      </c>
      <c r="S12" s="4">
        <v>84.227000000000004</v>
      </c>
      <c r="T12" s="4">
        <f>SUM(G12:J12)</f>
        <v>84.7</v>
      </c>
    </row>
    <row r="13" spans="1:36" s="9" customFormat="1" x14ac:dyDescent="0.2">
      <c r="A13" s="14" t="s">
        <v>24</v>
      </c>
      <c r="B13" s="9">
        <f t="shared" ref="B13:I13" si="5">+B11+B12</f>
        <v>239.35499999999999</v>
      </c>
      <c r="C13" s="9">
        <f t="shared" si="5"/>
        <v>250.08099999999999</v>
      </c>
      <c r="D13" s="9">
        <f t="shared" si="5"/>
        <v>264.40100000000001</v>
      </c>
      <c r="E13" s="9">
        <f t="shared" si="5"/>
        <v>274.56599999999997</v>
      </c>
      <c r="F13" s="9">
        <f t="shared" si="5"/>
        <v>279.94100000000003</v>
      </c>
      <c r="G13" s="9">
        <f t="shared" si="5"/>
        <v>293.75300000000004</v>
      </c>
      <c r="H13" s="9">
        <f t="shared" si="5"/>
        <v>310.61199999999997</v>
      </c>
      <c r="I13" s="9">
        <f t="shared" si="5"/>
        <v>327.95699999999999</v>
      </c>
      <c r="J13" s="9">
        <v>330</v>
      </c>
      <c r="K13" s="9">
        <f>+J13*1.04</f>
        <v>343.2</v>
      </c>
      <c r="L13" s="9">
        <f t="shared" ref="L13:M13" si="6">+K13*1.04</f>
        <v>356.928</v>
      </c>
      <c r="M13" s="9">
        <f t="shared" si="6"/>
        <v>371.20512000000002</v>
      </c>
      <c r="P13" s="9">
        <f>+P11+P12</f>
        <v>427.62</v>
      </c>
      <c r="Q13" s="9">
        <f>+Q11+Q12</f>
        <v>608.48900000000003</v>
      </c>
      <c r="R13" s="9">
        <f>+R11+R12</f>
        <v>862.37400000000002</v>
      </c>
      <c r="S13" s="9">
        <f>+S11+S12</f>
        <v>1068.989</v>
      </c>
      <c r="T13" s="9">
        <f>+T11+T12</f>
        <v>1260.3220000000001</v>
      </c>
      <c r="U13" s="9">
        <f>+T13*1.15</f>
        <v>1449.3703</v>
      </c>
      <c r="V13" s="9">
        <f t="shared" ref="V13:Z13" si="7">+U13*1.15</f>
        <v>1666.7758449999999</v>
      </c>
      <c r="W13" s="9">
        <f t="shared" si="7"/>
        <v>1916.7922217499997</v>
      </c>
      <c r="X13" s="9">
        <f t="shared" si="7"/>
        <v>2204.3110550124993</v>
      </c>
      <c r="Y13" s="9">
        <f t="shared" si="7"/>
        <v>2534.957713264374</v>
      </c>
      <c r="Z13" s="9">
        <f t="shared" si="7"/>
        <v>2915.2013702540298</v>
      </c>
      <c r="AA13" s="9">
        <f>+Z13*1.1</f>
        <v>3206.7215072794329</v>
      </c>
      <c r="AB13" s="9">
        <f t="shared" ref="AB13:AJ13" si="8">+AA13*1.1</f>
        <v>3527.3936580073764</v>
      </c>
      <c r="AC13" s="9">
        <f t="shared" si="8"/>
        <v>3880.1330238081146</v>
      </c>
      <c r="AD13" s="9">
        <f t="shared" si="8"/>
        <v>4268.1463261889267</v>
      </c>
      <c r="AE13" s="9">
        <f t="shared" si="8"/>
        <v>4694.9609588078201</v>
      </c>
      <c r="AF13" s="9">
        <f t="shared" si="8"/>
        <v>5164.4570546886025</v>
      </c>
      <c r="AG13" s="9">
        <f t="shared" si="8"/>
        <v>5680.9027601574635</v>
      </c>
      <c r="AH13" s="9">
        <f t="shared" si="8"/>
        <v>6248.9930361732104</v>
      </c>
      <c r="AI13" s="9">
        <f t="shared" si="8"/>
        <v>6873.8923397905319</v>
      </c>
      <c r="AJ13" s="9">
        <f t="shared" si="8"/>
        <v>7561.2815737695855</v>
      </c>
    </row>
    <row r="14" spans="1:36" x14ac:dyDescent="0.2">
      <c r="A14" s="13" t="s">
        <v>27</v>
      </c>
      <c r="B14" s="4">
        <v>67.364000000000004</v>
      </c>
      <c r="C14" s="4">
        <v>72.978999999999999</v>
      </c>
      <c r="D14" s="4">
        <v>74.757000000000005</v>
      </c>
      <c r="E14" s="4">
        <v>75.207999999999998</v>
      </c>
      <c r="F14" s="4">
        <v>73.682000000000002</v>
      </c>
      <c r="G14" s="4">
        <v>77.477000000000004</v>
      </c>
      <c r="H14" s="4">
        <v>80.088999999999999</v>
      </c>
      <c r="I14" s="4">
        <f>63.976+20.666</f>
        <v>84.641999999999996</v>
      </c>
      <c r="J14" s="4">
        <v>86</v>
      </c>
      <c r="K14" s="4">
        <f>+J14*1.03</f>
        <v>88.58</v>
      </c>
      <c r="L14" s="4">
        <f t="shared" ref="L14:M14" si="9">+K14*1.03</f>
        <v>91.237399999999994</v>
      </c>
      <c r="M14" s="4">
        <f t="shared" si="9"/>
        <v>93.974521999999993</v>
      </c>
      <c r="P14" s="4">
        <v>122.69</v>
      </c>
      <c r="Q14" s="4">
        <v>161.054</v>
      </c>
      <c r="R14" s="4">
        <v>232.19399999999999</v>
      </c>
      <c r="S14" s="4">
        <v>296.62599999999998</v>
      </c>
      <c r="T14" s="4">
        <f>SUM(G14:J14)</f>
        <v>328.20799999999997</v>
      </c>
      <c r="U14" s="4">
        <f>+T14*1.12</f>
        <v>367.59296000000001</v>
      </c>
      <c r="V14" s="4">
        <f t="shared" ref="V14:Z14" si="10">+U14*1.12</f>
        <v>411.70411520000005</v>
      </c>
      <c r="W14" s="4">
        <f t="shared" si="10"/>
        <v>461.10860902400009</v>
      </c>
      <c r="X14" s="4">
        <f t="shared" si="10"/>
        <v>516.44164210688018</v>
      </c>
      <c r="Y14" s="4">
        <f t="shared" si="10"/>
        <v>578.41463915970587</v>
      </c>
      <c r="Z14" s="4">
        <f t="shared" si="10"/>
        <v>647.82439585887062</v>
      </c>
      <c r="AA14" s="4">
        <f>+Z14*1.08</f>
        <v>699.65034752758027</v>
      </c>
      <c r="AB14" s="4">
        <f t="shared" ref="AB14:AJ14" si="11">+AA14*1.08</f>
        <v>755.62237532978679</v>
      </c>
      <c r="AC14" s="4">
        <f t="shared" si="11"/>
        <v>816.07216535616976</v>
      </c>
      <c r="AD14" s="4">
        <f t="shared" si="11"/>
        <v>881.35793858466343</v>
      </c>
      <c r="AE14" s="4">
        <f t="shared" si="11"/>
        <v>951.86657367143653</v>
      </c>
      <c r="AF14" s="4">
        <f t="shared" si="11"/>
        <v>1028.0158995651516</v>
      </c>
      <c r="AG14" s="4">
        <f t="shared" si="11"/>
        <v>1110.2571715303638</v>
      </c>
      <c r="AH14" s="4">
        <f t="shared" si="11"/>
        <v>1199.077745252793</v>
      </c>
      <c r="AI14" s="4">
        <f t="shared" si="11"/>
        <v>1295.0039648730165</v>
      </c>
      <c r="AJ14" s="4">
        <f t="shared" si="11"/>
        <v>1398.6042820628579</v>
      </c>
    </row>
    <row r="15" spans="1:36" x14ac:dyDescent="0.2">
      <c r="A15" s="13" t="s">
        <v>28</v>
      </c>
      <c r="B15" s="4">
        <f t="shared" ref="B15:I15" si="12">+B13-B14</f>
        <v>171.99099999999999</v>
      </c>
      <c r="C15" s="4">
        <f t="shared" si="12"/>
        <v>177.10199999999998</v>
      </c>
      <c r="D15" s="4">
        <f t="shared" si="12"/>
        <v>189.64400000000001</v>
      </c>
      <c r="E15" s="4">
        <f t="shared" si="12"/>
        <v>199.35799999999998</v>
      </c>
      <c r="F15" s="4">
        <f t="shared" si="12"/>
        <v>206.25900000000001</v>
      </c>
      <c r="G15" s="4">
        <f t="shared" si="12"/>
        <v>216.27600000000004</v>
      </c>
      <c r="H15" s="4">
        <f t="shared" si="12"/>
        <v>230.52299999999997</v>
      </c>
      <c r="I15" s="4">
        <f t="shared" si="12"/>
        <v>243.315</v>
      </c>
      <c r="J15" s="4">
        <f>+J13-J14</f>
        <v>244</v>
      </c>
      <c r="K15" s="4">
        <f t="shared" ref="K15:M15" si="13">+K13-K14</f>
        <v>254.62</v>
      </c>
      <c r="L15" s="4">
        <f t="shared" si="13"/>
        <v>265.69060000000002</v>
      </c>
      <c r="M15" s="4">
        <f t="shared" si="13"/>
        <v>277.23059800000004</v>
      </c>
      <c r="P15" s="4">
        <f>+P13-P14</f>
        <v>304.93</v>
      </c>
      <c r="Q15" s="4">
        <f>+Q13-Q14</f>
        <v>447.43500000000006</v>
      </c>
      <c r="R15" s="4">
        <f>+R13-R14</f>
        <v>630.18000000000006</v>
      </c>
      <c r="S15" s="4">
        <f>+S13-S14</f>
        <v>772.36300000000006</v>
      </c>
      <c r="T15" s="4">
        <f>+T13-T14</f>
        <v>932.11400000000015</v>
      </c>
      <c r="U15" s="4">
        <f t="shared" ref="U15:AJ15" si="14">+U13-U14</f>
        <v>1081.7773400000001</v>
      </c>
      <c r="V15" s="4">
        <f t="shared" si="14"/>
        <v>1255.0717298</v>
      </c>
      <c r="W15" s="4">
        <f t="shared" si="14"/>
        <v>1455.6836127259996</v>
      </c>
      <c r="X15" s="4">
        <f t="shared" si="14"/>
        <v>1687.8694129056191</v>
      </c>
      <c r="Y15" s="4">
        <f t="shared" si="14"/>
        <v>1956.543074104668</v>
      </c>
      <c r="Z15" s="4">
        <f t="shared" si="14"/>
        <v>2267.3769743951593</v>
      </c>
      <c r="AA15" s="4">
        <f t="shared" si="14"/>
        <v>2507.0711597518525</v>
      </c>
      <c r="AB15" s="4">
        <f t="shared" si="14"/>
        <v>2771.7712826775896</v>
      </c>
      <c r="AC15" s="4">
        <f t="shared" si="14"/>
        <v>3064.060858451945</v>
      </c>
      <c r="AD15" s="4">
        <f t="shared" si="14"/>
        <v>3386.7883876042633</v>
      </c>
      <c r="AE15" s="4">
        <f t="shared" si="14"/>
        <v>3743.0943851363836</v>
      </c>
      <c r="AF15" s="4">
        <f t="shared" si="14"/>
        <v>4136.4411551234507</v>
      </c>
      <c r="AG15" s="4">
        <f t="shared" si="14"/>
        <v>4570.6455886270996</v>
      </c>
      <c r="AH15" s="4">
        <f t="shared" si="14"/>
        <v>5049.9152909204176</v>
      </c>
      <c r="AI15" s="4">
        <f t="shared" si="14"/>
        <v>5578.8883749175156</v>
      </c>
      <c r="AJ15" s="4">
        <f t="shared" si="14"/>
        <v>6162.6772917067274</v>
      </c>
    </row>
    <row r="16" spans="1:36" x14ac:dyDescent="0.2">
      <c r="A16" s="13" t="s">
        <v>29</v>
      </c>
      <c r="B16" s="4">
        <v>78.867000000000004</v>
      </c>
      <c r="C16" s="4">
        <v>78.649000000000001</v>
      </c>
      <c r="D16" s="4">
        <v>75.567999999999998</v>
      </c>
      <c r="E16" s="4">
        <v>77.471999999999994</v>
      </c>
      <c r="F16" s="4">
        <v>81.765000000000001</v>
      </c>
      <c r="G16" s="4">
        <v>80.69</v>
      </c>
      <c r="H16" s="4">
        <v>80.108000000000004</v>
      </c>
      <c r="I16" s="4">
        <v>87.201999999999998</v>
      </c>
      <c r="J16" s="4">
        <f>+I16*1.02</f>
        <v>88.946039999999996</v>
      </c>
      <c r="K16" s="4">
        <f t="shared" ref="K16:M16" si="15">+J16*1.02</f>
        <v>90.724960799999991</v>
      </c>
      <c r="L16" s="4">
        <f t="shared" si="15"/>
        <v>92.539460015999992</v>
      </c>
      <c r="M16" s="4">
        <f t="shared" si="15"/>
        <v>94.390249216320001</v>
      </c>
      <c r="P16" s="4">
        <v>165.37</v>
      </c>
      <c r="Q16" s="4">
        <v>199.203</v>
      </c>
      <c r="R16" s="4">
        <v>273.76100000000002</v>
      </c>
      <c r="S16" s="4">
        <v>313.45400000000001</v>
      </c>
      <c r="T16" s="4">
        <f t="shared" ref="T16:T18" si="16">SUM(G16:J16)</f>
        <v>336.94603999999998</v>
      </c>
      <c r="U16" s="4">
        <f>+T16*1.03</f>
        <v>347.05442119999998</v>
      </c>
      <c r="V16" s="4">
        <f t="shared" ref="V16:AJ16" si="17">+U16*1.03</f>
        <v>357.46605383600001</v>
      </c>
      <c r="W16" s="4">
        <f t="shared" si="17"/>
        <v>368.19003545108001</v>
      </c>
      <c r="X16" s="4">
        <f t="shared" si="17"/>
        <v>379.23573651461243</v>
      </c>
      <c r="Y16" s="4">
        <f t="shared" si="17"/>
        <v>390.61280861005082</v>
      </c>
      <c r="Z16" s="4">
        <f t="shared" si="17"/>
        <v>402.33119286835233</v>
      </c>
      <c r="AA16" s="4">
        <f t="shared" si="17"/>
        <v>414.4011286544029</v>
      </c>
      <c r="AB16" s="4">
        <f t="shared" si="17"/>
        <v>426.833162514035</v>
      </c>
      <c r="AC16" s="4">
        <f t="shared" si="17"/>
        <v>439.63815738945607</v>
      </c>
      <c r="AD16" s="4">
        <f t="shared" si="17"/>
        <v>452.82730211113977</v>
      </c>
      <c r="AE16" s="4">
        <f t="shared" si="17"/>
        <v>466.41212117447395</v>
      </c>
      <c r="AF16" s="4">
        <f t="shared" si="17"/>
        <v>480.40448480970821</v>
      </c>
      <c r="AG16" s="4">
        <f t="shared" si="17"/>
        <v>494.81661935399944</v>
      </c>
      <c r="AH16" s="4">
        <f t="shared" si="17"/>
        <v>509.66111793461943</v>
      </c>
      <c r="AI16" s="4">
        <f t="shared" si="17"/>
        <v>524.95095147265806</v>
      </c>
      <c r="AJ16" s="4">
        <f t="shared" si="17"/>
        <v>540.69948001683781</v>
      </c>
    </row>
    <row r="17" spans="1:137" x14ac:dyDescent="0.2">
      <c r="A17" s="13" t="s">
        <v>30</v>
      </c>
      <c r="B17" s="4">
        <v>118.60299999999999</v>
      </c>
      <c r="C17" s="4">
        <v>125.006</v>
      </c>
      <c r="D17" s="4">
        <v>128.179</v>
      </c>
      <c r="E17" s="4">
        <v>126.717</v>
      </c>
      <c r="F17" s="4">
        <v>123.63500000000001</v>
      </c>
      <c r="G17" s="4">
        <v>133.16900000000001</v>
      </c>
      <c r="H17" s="4">
        <v>133.22999999999999</v>
      </c>
      <c r="I17" s="4">
        <v>141.62100000000001</v>
      </c>
      <c r="J17" s="4">
        <f>+I17*1.03</f>
        <v>145.86963</v>
      </c>
      <c r="K17" s="4">
        <f t="shared" ref="K17:M17" si="18">+J17*1.03</f>
        <v>150.24571890000001</v>
      </c>
      <c r="L17" s="4">
        <f t="shared" si="18"/>
        <v>154.75309046700002</v>
      </c>
      <c r="M17" s="4">
        <f t="shared" si="18"/>
        <v>159.39568318101001</v>
      </c>
      <c r="P17" s="4">
        <v>219.04</v>
      </c>
      <c r="Q17" s="4">
        <v>273.87700000000001</v>
      </c>
      <c r="R17" s="4">
        <v>406.65800000000002</v>
      </c>
      <c r="S17" s="4">
        <v>503.53699999999998</v>
      </c>
      <c r="T17" s="4">
        <f t="shared" si="16"/>
        <v>553.88963000000001</v>
      </c>
      <c r="U17" s="4">
        <f>+T17*1.04</f>
        <v>576.04521520000003</v>
      </c>
      <c r="V17" s="4">
        <f t="shared" ref="V17:AJ17" si="19">+U17*1.04</f>
        <v>599.08702380800003</v>
      </c>
      <c r="W17" s="4">
        <f t="shared" si="19"/>
        <v>623.05050476032</v>
      </c>
      <c r="X17" s="4">
        <f t="shared" si="19"/>
        <v>647.9725249507328</v>
      </c>
      <c r="Y17" s="4">
        <f t="shared" si="19"/>
        <v>673.89142594876216</v>
      </c>
      <c r="Z17" s="4">
        <f t="shared" si="19"/>
        <v>700.84708298671262</v>
      </c>
      <c r="AA17" s="4">
        <f t="shared" si="19"/>
        <v>728.88096630618111</v>
      </c>
      <c r="AB17" s="4">
        <f t="shared" si="19"/>
        <v>758.03620495842836</v>
      </c>
      <c r="AC17" s="4">
        <f t="shared" si="19"/>
        <v>788.35765315676554</v>
      </c>
      <c r="AD17" s="4">
        <f t="shared" si="19"/>
        <v>819.89195928303616</v>
      </c>
      <c r="AE17" s="4">
        <f t="shared" si="19"/>
        <v>852.68763765435767</v>
      </c>
      <c r="AF17" s="4">
        <f t="shared" si="19"/>
        <v>886.79514316053201</v>
      </c>
      <c r="AG17" s="4">
        <f t="shared" si="19"/>
        <v>922.26694888695329</v>
      </c>
      <c r="AH17" s="4">
        <f t="shared" si="19"/>
        <v>959.15762684243145</v>
      </c>
      <c r="AI17" s="4">
        <f t="shared" si="19"/>
        <v>997.52393191612873</v>
      </c>
      <c r="AJ17" s="4">
        <f t="shared" si="19"/>
        <v>1037.4248891927739</v>
      </c>
    </row>
    <row r="18" spans="1:137" x14ac:dyDescent="0.2">
      <c r="A18" s="13" t="s">
        <v>31</v>
      </c>
      <c r="B18" s="4">
        <v>34.143000000000001</v>
      </c>
      <c r="C18" s="4">
        <v>34.088000000000001</v>
      </c>
      <c r="D18" s="4">
        <v>34.924999999999997</v>
      </c>
      <c r="E18" s="4">
        <v>34.710999999999999</v>
      </c>
      <c r="F18" s="4">
        <v>39.523000000000003</v>
      </c>
      <c r="G18" s="4">
        <v>37.939</v>
      </c>
      <c r="H18" s="4">
        <v>38.695</v>
      </c>
      <c r="I18" s="4">
        <v>40.896000000000001</v>
      </c>
      <c r="J18" s="4">
        <f>+I18*1.03</f>
        <v>42.122880000000002</v>
      </c>
      <c r="K18" s="4">
        <f t="shared" ref="K18:M18" si="20">+J18*1.03</f>
        <v>43.386566400000007</v>
      </c>
      <c r="L18" s="4">
        <f t="shared" si="20"/>
        <v>44.688163392000007</v>
      </c>
      <c r="M18" s="4">
        <f t="shared" si="20"/>
        <v>46.028808293760008</v>
      </c>
      <c r="P18" s="4">
        <v>91.625</v>
      </c>
      <c r="Q18" s="4">
        <v>103.833</v>
      </c>
      <c r="R18" s="4">
        <v>123.441</v>
      </c>
      <c r="S18" s="4">
        <v>143.24700000000001</v>
      </c>
      <c r="T18" s="4">
        <f t="shared" si="16"/>
        <v>159.65288000000001</v>
      </c>
      <c r="U18" s="4">
        <f>+T18*1.04</f>
        <v>166.03899520000002</v>
      </c>
      <c r="V18" s="4">
        <f t="shared" ref="V18:AJ18" si="21">+U18*1.04</f>
        <v>172.68055500800003</v>
      </c>
      <c r="W18" s="4">
        <f t="shared" si="21"/>
        <v>179.58777720832003</v>
      </c>
      <c r="X18" s="4">
        <f t="shared" si="21"/>
        <v>186.77128829665284</v>
      </c>
      <c r="Y18" s="4">
        <f t="shared" si="21"/>
        <v>194.24213982851896</v>
      </c>
      <c r="Z18" s="4">
        <f t="shared" si="21"/>
        <v>202.01182542165972</v>
      </c>
      <c r="AA18" s="4">
        <f t="shared" si="21"/>
        <v>210.09229843852611</v>
      </c>
      <c r="AB18" s="4">
        <f t="shared" si="21"/>
        <v>218.49599037606717</v>
      </c>
      <c r="AC18" s="4">
        <f t="shared" si="21"/>
        <v>227.23582999110985</v>
      </c>
      <c r="AD18" s="4">
        <f t="shared" si="21"/>
        <v>236.32526319075424</v>
      </c>
      <c r="AE18" s="4">
        <f t="shared" si="21"/>
        <v>245.77827371838441</v>
      </c>
      <c r="AF18" s="4">
        <f t="shared" si="21"/>
        <v>255.6094046671198</v>
      </c>
      <c r="AG18" s="4">
        <f t="shared" si="21"/>
        <v>265.83378085380463</v>
      </c>
      <c r="AH18" s="4">
        <f t="shared" si="21"/>
        <v>276.46713208795683</v>
      </c>
      <c r="AI18" s="4">
        <f t="shared" si="21"/>
        <v>287.52581737147511</v>
      </c>
      <c r="AJ18" s="4">
        <f t="shared" si="21"/>
        <v>299.02685006633413</v>
      </c>
    </row>
    <row r="19" spans="1:137" x14ac:dyDescent="0.2">
      <c r="A19" s="13" t="s">
        <v>32</v>
      </c>
      <c r="B19" s="4">
        <f t="shared" ref="B19:M19" si="22">SUM(B16:B18)</f>
        <v>231.613</v>
      </c>
      <c r="C19" s="4">
        <f t="shared" si="22"/>
        <v>237.74299999999999</v>
      </c>
      <c r="D19" s="4">
        <f t="shared" si="22"/>
        <v>238.67200000000003</v>
      </c>
      <c r="E19" s="4">
        <f t="shared" si="22"/>
        <v>238.89999999999998</v>
      </c>
      <c r="F19" s="4">
        <f t="shared" si="22"/>
        <v>244.923</v>
      </c>
      <c r="G19" s="4">
        <f t="shared" si="22"/>
        <v>251.798</v>
      </c>
      <c r="H19" s="4">
        <f t="shared" si="22"/>
        <v>252.03299999999999</v>
      </c>
      <c r="I19" s="4">
        <f t="shared" si="22"/>
        <v>269.71899999999999</v>
      </c>
      <c r="J19" s="4">
        <f t="shared" si="22"/>
        <v>276.93855000000002</v>
      </c>
      <c r="K19" s="4">
        <f t="shared" si="22"/>
        <v>284.3572461</v>
      </c>
      <c r="L19" s="4">
        <f t="shared" si="22"/>
        <v>291.98071387499999</v>
      </c>
      <c r="M19" s="4">
        <f t="shared" si="22"/>
        <v>299.81474069109004</v>
      </c>
      <c r="P19" s="4">
        <f>SUM(P16:P18)</f>
        <v>476.03499999999997</v>
      </c>
      <c r="Q19" s="4">
        <f>SUM(Q16:Q18)</f>
        <v>576.91300000000001</v>
      </c>
      <c r="R19" s="4">
        <f>SUM(R16:R18)</f>
        <v>803.86000000000013</v>
      </c>
      <c r="S19" s="4">
        <f>SUM(S16:S18)</f>
        <v>960.23800000000006</v>
      </c>
      <c r="T19" s="4">
        <f>SUM(T16:T18)</f>
        <v>1050.48855</v>
      </c>
      <c r="U19" s="4">
        <f t="shared" ref="U19:AJ19" si="23">SUM(U16:U18)</f>
        <v>1089.1386316000001</v>
      </c>
      <c r="V19" s="4">
        <f t="shared" si="23"/>
        <v>1129.2336326520001</v>
      </c>
      <c r="W19" s="4">
        <f t="shared" si="23"/>
        <v>1170.82831741972</v>
      </c>
      <c r="X19" s="4">
        <f t="shared" si="23"/>
        <v>1213.979549761998</v>
      </c>
      <c r="Y19" s="4">
        <f t="shared" si="23"/>
        <v>1258.746374387332</v>
      </c>
      <c r="Z19" s="4">
        <f t="shared" si="23"/>
        <v>1305.1901012767246</v>
      </c>
      <c r="AA19" s="4">
        <f t="shared" si="23"/>
        <v>1353.37439339911</v>
      </c>
      <c r="AB19" s="4">
        <f t="shared" si="23"/>
        <v>1403.3653578485305</v>
      </c>
      <c r="AC19" s="4">
        <f t="shared" si="23"/>
        <v>1455.2316405373313</v>
      </c>
      <c r="AD19" s="4">
        <f t="shared" si="23"/>
        <v>1509.0445245849301</v>
      </c>
      <c r="AE19" s="4">
        <f t="shared" si="23"/>
        <v>1564.8780325472162</v>
      </c>
      <c r="AF19" s="4">
        <f t="shared" si="23"/>
        <v>1622.8090326373601</v>
      </c>
      <c r="AG19" s="4">
        <f t="shared" si="23"/>
        <v>1682.9173490947574</v>
      </c>
      <c r="AH19" s="4">
        <f t="shared" si="23"/>
        <v>1745.2858768650076</v>
      </c>
      <c r="AI19" s="4">
        <f t="shared" si="23"/>
        <v>1810.0007007602619</v>
      </c>
      <c r="AJ19" s="4">
        <f t="shared" si="23"/>
        <v>1877.151219275946</v>
      </c>
    </row>
    <row r="20" spans="1:137" s="9" customFormat="1" x14ac:dyDescent="0.2">
      <c r="A20" s="14" t="s">
        <v>33</v>
      </c>
      <c r="B20" s="9">
        <f t="shared" ref="B20:M20" si="24">+B15-B19</f>
        <v>-59.622000000000014</v>
      </c>
      <c r="C20" s="9">
        <f t="shared" si="24"/>
        <v>-60.64100000000002</v>
      </c>
      <c r="D20" s="9">
        <f t="shared" si="24"/>
        <v>-49.02800000000002</v>
      </c>
      <c r="E20" s="9">
        <f t="shared" si="24"/>
        <v>-39.542000000000002</v>
      </c>
      <c r="F20" s="9">
        <f t="shared" si="24"/>
        <v>-38.663999999999987</v>
      </c>
      <c r="G20" s="9">
        <f t="shared" si="24"/>
        <v>-35.521999999999963</v>
      </c>
      <c r="H20" s="9">
        <f t="shared" si="24"/>
        <v>-21.510000000000019</v>
      </c>
      <c r="I20" s="9">
        <f t="shared" si="24"/>
        <v>-26.403999999999996</v>
      </c>
      <c r="J20" s="9">
        <f t="shared" si="24"/>
        <v>-32.938550000000021</v>
      </c>
      <c r="K20" s="9">
        <f t="shared" si="24"/>
        <v>-29.737246099999993</v>
      </c>
      <c r="L20" s="9">
        <f t="shared" si="24"/>
        <v>-26.290113874999975</v>
      </c>
      <c r="M20" s="9">
        <f t="shared" si="24"/>
        <v>-22.584142691089994</v>
      </c>
      <c r="P20" s="9">
        <f>+P15-P19</f>
        <v>-171.10499999999996</v>
      </c>
      <c r="Q20" s="9">
        <f>+Q15-Q19</f>
        <v>-129.47799999999995</v>
      </c>
      <c r="R20" s="9">
        <f>+R15-R19</f>
        <v>-173.68000000000006</v>
      </c>
      <c r="S20" s="9">
        <f>+S15-S19</f>
        <v>-187.875</v>
      </c>
      <c r="T20" s="9">
        <f>+T15-T19</f>
        <v>-118.37454999999989</v>
      </c>
      <c r="U20" s="9">
        <f t="shared" ref="U20:AJ20" si="25">+U15-U19</f>
        <v>-7.3612915999999586</v>
      </c>
      <c r="V20" s="9">
        <f t="shared" si="25"/>
        <v>125.83809714799986</v>
      </c>
      <c r="W20" s="9">
        <f t="shared" si="25"/>
        <v>284.85529530627969</v>
      </c>
      <c r="X20" s="9">
        <f t="shared" si="25"/>
        <v>473.88986314362114</v>
      </c>
      <c r="Y20" s="9">
        <f t="shared" si="25"/>
        <v>697.79669971733597</v>
      </c>
      <c r="Z20" s="9">
        <f t="shared" si="25"/>
        <v>962.18687311843473</v>
      </c>
      <c r="AA20" s="9">
        <f t="shared" si="25"/>
        <v>1153.6967663527425</v>
      </c>
      <c r="AB20" s="9">
        <f t="shared" si="25"/>
        <v>1368.4059248290591</v>
      </c>
      <c r="AC20" s="9">
        <f t="shared" si="25"/>
        <v>1608.8292179146138</v>
      </c>
      <c r="AD20" s="9">
        <f t="shared" si="25"/>
        <v>1877.7438630193333</v>
      </c>
      <c r="AE20" s="9">
        <f t="shared" si="25"/>
        <v>2178.2163525891674</v>
      </c>
      <c r="AF20" s="9">
        <f t="shared" si="25"/>
        <v>2513.6321224860903</v>
      </c>
      <c r="AG20" s="9">
        <f t="shared" si="25"/>
        <v>2887.7282395323423</v>
      </c>
      <c r="AH20" s="9">
        <f t="shared" si="25"/>
        <v>3304.6294140554101</v>
      </c>
      <c r="AI20" s="9">
        <f t="shared" si="25"/>
        <v>3768.887674157254</v>
      </c>
      <c r="AJ20" s="9">
        <f t="shared" si="25"/>
        <v>4285.5260724307809</v>
      </c>
    </row>
    <row r="21" spans="1:137" x14ac:dyDescent="0.2">
      <c r="A21" s="13" t="s">
        <v>34</v>
      </c>
      <c r="B21" s="4">
        <v>-6.3890000000000002</v>
      </c>
      <c r="C21" s="4">
        <v>-6.4009999999999998</v>
      </c>
      <c r="D21" s="4">
        <v>-6.2089999999999996</v>
      </c>
      <c r="E21" s="4">
        <v>-6.2649999999999997</v>
      </c>
      <c r="F21" s="4">
        <v>-6.2839999999999998</v>
      </c>
      <c r="G21" s="4">
        <v>-6.306</v>
      </c>
      <c r="H21" s="4">
        <v>-6.3490000000000002</v>
      </c>
      <c r="I21" s="4">
        <v>-6.3680000000000003</v>
      </c>
      <c r="J21" s="4">
        <v>-6.3680000000000003</v>
      </c>
      <c r="K21" s="4">
        <v>-6.3680000000000003</v>
      </c>
      <c r="L21" s="4">
        <v>-6.3680000000000003</v>
      </c>
      <c r="M21" s="4">
        <v>-6.3680000000000003</v>
      </c>
      <c r="P21" s="4">
        <v>0</v>
      </c>
      <c r="Q21" s="4">
        <v>-0.185</v>
      </c>
      <c r="R21" s="4">
        <v>-20.716000000000001</v>
      </c>
      <c r="S21" s="4">
        <v>-25.158999999999999</v>
      </c>
      <c r="T21" s="4">
        <f t="shared" ref="T21:T24" si="26">SUM(G21:J21)</f>
        <v>-25.391000000000005</v>
      </c>
      <c r="U21" s="4">
        <f>+T21*1.04</f>
        <v>-26.406640000000007</v>
      </c>
      <c r="V21" s="4">
        <f t="shared" ref="V21:AJ21" si="27">+U21*1.04</f>
        <v>-27.462905600000006</v>
      </c>
      <c r="W21" s="4">
        <f t="shared" si="27"/>
        <v>-28.561421824000007</v>
      </c>
      <c r="X21" s="4">
        <f t="shared" si="27"/>
        <v>-29.703878696960007</v>
      </c>
      <c r="Y21" s="4">
        <f t="shared" si="27"/>
        <v>-30.892033844838409</v>
      </c>
      <c r="Z21" s="4">
        <f t="shared" si="27"/>
        <v>-32.127715198631947</v>
      </c>
      <c r="AA21" s="4">
        <f t="shared" si="27"/>
        <v>-33.412823806577222</v>
      </c>
      <c r="AB21" s="4">
        <f t="shared" si="27"/>
        <v>-34.749336758840315</v>
      </c>
      <c r="AC21" s="4">
        <f t="shared" si="27"/>
        <v>-36.139310229193931</v>
      </c>
      <c r="AD21" s="4">
        <f t="shared" si="27"/>
        <v>-37.584882638361691</v>
      </c>
      <c r="AE21" s="4">
        <f t="shared" si="27"/>
        <v>-39.088277943896159</v>
      </c>
      <c r="AF21" s="4">
        <f t="shared" si="27"/>
        <v>-40.65180906165201</v>
      </c>
      <c r="AG21" s="4">
        <f t="shared" si="27"/>
        <v>-42.277881424118092</v>
      </c>
      <c r="AH21" s="4">
        <f t="shared" si="27"/>
        <v>-43.968996681082821</v>
      </c>
      <c r="AI21" s="4">
        <f t="shared" si="27"/>
        <v>-45.727756548326134</v>
      </c>
      <c r="AJ21" s="4">
        <f t="shared" si="27"/>
        <v>-47.55686681025918</v>
      </c>
    </row>
    <row r="22" spans="1:137" x14ac:dyDescent="0.2">
      <c r="A22" s="13" t="s">
        <v>35</v>
      </c>
      <c r="B22" s="4">
        <v>-2.8839999999999999</v>
      </c>
      <c r="C22" s="4">
        <v>0.33900000000000002</v>
      </c>
      <c r="D22" s="4">
        <v>14.975</v>
      </c>
      <c r="E22" s="4">
        <v>5.46</v>
      </c>
      <c r="F22" s="4">
        <v>6.68</v>
      </c>
      <c r="G22" s="4">
        <v>7.3</v>
      </c>
      <c r="H22" s="4">
        <v>8.2390000000000008</v>
      </c>
      <c r="I22" s="4">
        <v>8.5679999999999996</v>
      </c>
      <c r="J22" s="4">
        <f>+I22+1</f>
        <v>9.5679999999999996</v>
      </c>
      <c r="K22" s="4">
        <f t="shared" ref="K22:M22" si="28">+J22+1</f>
        <v>10.568</v>
      </c>
      <c r="L22" s="4">
        <f t="shared" si="28"/>
        <v>11.568</v>
      </c>
      <c r="M22" s="4">
        <f t="shared" si="28"/>
        <v>12.568</v>
      </c>
      <c r="P22" s="4">
        <v>1.9630000000000001</v>
      </c>
      <c r="Q22" s="4">
        <v>7.9489999999999998</v>
      </c>
      <c r="R22" s="4">
        <v>-3.3929999999999998</v>
      </c>
      <c r="S22" s="4">
        <v>27.454000000000001</v>
      </c>
      <c r="T22" s="4">
        <f t="shared" si="26"/>
        <v>33.674999999999997</v>
      </c>
      <c r="U22" s="4">
        <f>+T22*1.04</f>
        <v>35.021999999999998</v>
      </c>
      <c r="V22" s="4">
        <f t="shared" ref="V22:AJ22" si="29">+U22*1.04</f>
        <v>36.422879999999999</v>
      </c>
      <c r="W22" s="4">
        <f t="shared" si="29"/>
        <v>37.879795200000004</v>
      </c>
      <c r="X22" s="4">
        <f t="shared" si="29"/>
        <v>39.394987008000008</v>
      </c>
      <c r="Y22" s="4">
        <f t="shared" si="29"/>
        <v>40.970786488320009</v>
      </c>
      <c r="Z22" s="4">
        <f t="shared" si="29"/>
        <v>42.609617947852811</v>
      </c>
      <c r="AA22" s="4">
        <f t="shared" si="29"/>
        <v>44.314002665766928</v>
      </c>
      <c r="AB22" s="4">
        <f t="shared" si="29"/>
        <v>46.086562772397606</v>
      </c>
      <c r="AC22" s="4">
        <f t="shared" si="29"/>
        <v>47.93002528329351</v>
      </c>
      <c r="AD22" s="4">
        <f t="shared" si="29"/>
        <v>49.847226294625251</v>
      </c>
      <c r="AE22" s="4">
        <f t="shared" si="29"/>
        <v>51.841115346410263</v>
      </c>
      <c r="AF22" s="4">
        <f t="shared" si="29"/>
        <v>53.914759960266672</v>
      </c>
      <c r="AG22" s="4">
        <f t="shared" si="29"/>
        <v>56.071350358677343</v>
      </c>
      <c r="AH22" s="4">
        <f t="shared" si="29"/>
        <v>58.314204373024438</v>
      </c>
      <c r="AI22" s="4">
        <f t="shared" si="29"/>
        <v>60.646772547945417</v>
      </c>
      <c r="AJ22" s="4">
        <f t="shared" si="29"/>
        <v>63.072643449863236</v>
      </c>
    </row>
    <row r="23" spans="1:137" x14ac:dyDescent="0.2">
      <c r="A23" s="13" t="s">
        <v>36</v>
      </c>
      <c r="B23" s="4">
        <f t="shared" ref="B23:M23" si="30">+B20+B21+B22</f>
        <v>-68.89500000000001</v>
      </c>
      <c r="C23" s="4">
        <f t="shared" si="30"/>
        <v>-66.703000000000017</v>
      </c>
      <c r="D23" s="4">
        <f t="shared" si="30"/>
        <v>-40.262000000000022</v>
      </c>
      <c r="E23" s="4">
        <f t="shared" si="30"/>
        <v>-40.347000000000001</v>
      </c>
      <c r="F23" s="4">
        <f t="shared" si="30"/>
        <v>-38.267999999999986</v>
      </c>
      <c r="G23" s="4">
        <f t="shared" si="30"/>
        <v>-34.527999999999963</v>
      </c>
      <c r="H23" s="4">
        <f t="shared" si="30"/>
        <v>-19.620000000000019</v>
      </c>
      <c r="I23" s="4">
        <f t="shared" si="30"/>
        <v>-24.204000000000001</v>
      </c>
      <c r="J23" s="4">
        <f t="shared" si="30"/>
        <v>-29.738550000000025</v>
      </c>
      <c r="K23" s="4">
        <f t="shared" si="30"/>
        <v>-25.537246099999997</v>
      </c>
      <c r="L23" s="4">
        <f t="shared" si="30"/>
        <v>-21.090113874999979</v>
      </c>
      <c r="M23" s="4">
        <f t="shared" si="30"/>
        <v>-16.384142691089998</v>
      </c>
      <c r="P23" s="4">
        <f>+P20+P21+P22</f>
        <v>-169.14199999999997</v>
      </c>
      <c r="Q23" s="4">
        <f>+Q20+Q21+Q22</f>
        <v>-121.71399999999996</v>
      </c>
      <c r="R23" s="4">
        <f>+R20+R21+R22</f>
        <v>-197.78900000000007</v>
      </c>
      <c r="S23" s="4">
        <f>+S20+S21+S22</f>
        <v>-185.57999999999998</v>
      </c>
      <c r="T23" s="4">
        <f>+T20+T21+T22</f>
        <v>-110.09054999999991</v>
      </c>
      <c r="U23" s="4">
        <f t="shared" ref="U23:AJ23" si="31">+U20+U21+U22</f>
        <v>1.2540684000000297</v>
      </c>
      <c r="V23" s="4">
        <f t="shared" si="31"/>
        <v>134.79807154799985</v>
      </c>
      <c r="W23" s="4">
        <f t="shared" si="31"/>
        <v>294.17366868227964</v>
      </c>
      <c r="X23" s="4">
        <f t="shared" si="31"/>
        <v>483.5809714546611</v>
      </c>
      <c r="Y23" s="4">
        <f t="shared" si="31"/>
        <v>707.87545236081758</v>
      </c>
      <c r="Z23" s="4">
        <f t="shared" si="31"/>
        <v>972.66877586765565</v>
      </c>
      <c r="AA23" s="4">
        <f t="shared" si="31"/>
        <v>1164.5979452119323</v>
      </c>
      <c r="AB23" s="4">
        <f t="shared" si="31"/>
        <v>1379.7431508426164</v>
      </c>
      <c r="AC23" s="4">
        <f t="shared" si="31"/>
        <v>1620.6199329687136</v>
      </c>
      <c r="AD23" s="4">
        <f t="shared" si="31"/>
        <v>1890.0062066755968</v>
      </c>
      <c r="AE23" s="4">
        <f t="shared" si="31"/>
        <v>2190.9691899916816</v>
      </c>
      <c r="AF23" s="4">
        <f t="shared" si="31"/>
        <v>2526.895073384705</v>
      </c>
      <c r="AG23" s="4">
        <f t="shared" si="31"/>
        <v>2901.5217084669011</v>
      </c>
      <c r="AH23" s="4">
        <f t="shared" si="31"/>
        <v>3318.9746217473516</v>
      </c>
      <c r="AI23" s="4">
        <f t="shared" si="31"/>
        <v>3783.8066901568736</v>
      </c>
      <c r="AJ23" s="4">
        <f t="shared" si="31"/>
        <v>4301.0418490703851</v>
      </c>
    </row>
    <row r="24" spans="1:137" x14ac:dyDescent="0.2">
      <c r="A24" s="13" t="s">
        <v>37</v>
      </c>
      <c r="B24" s="4">
        <v>-3.2850000000000001</v>
      </c>
      <c r="C24" s="4">
        <v>2.8479999999999999</v>
      </c>
      <c r="D24" s="4">
        <v>7.0430000000000001</v>
      </c>
      <c r="E24" s="4">
        <v>2.4220000000000002</v>
      </c>
      <c r="F24" s="4">
        <v>6.9710000000000001</v>
      </c>
      <c r="G24" s="4">
        <v>13.225</v>
      </c>
      <c r="H24" s="4">
        <v>5.1470000000000002</v>
      </c>
      <c r="I24" s="10">
        <v>-3</v>
      </c>
      <c r="J24" s="4">
        <v>4</v>
      </c>
      <c r="K24" s="4">
        <v>4</v>
      </c>
      <c r="L24" s="4">
        <v>4</v>
      </c>
      <c r="M24" s="4">
        <v>4</v>
      </c>
      <c r="P24" s="4">
        <v>-1.968</v>
      </c>
      <c r="Q24" s="4">
        <v>7.72</v>
      </c>
      <c r="R24" s="4">
        <v>6.0590000000000002</v>
      </c>
      <c r="S24" s="4">
        <v>19.283999999999999</v>
      </c>
      <c r="T24" s="4">
        <f t="shared" si="26"/>
        <v>19.372</v>
      </c>
      <c r="U24" s="4">
        <f t="shared" ref="U24" si="32">SUM(H24:K24)</f>
        <v>10.147</v>
      </c>
      <c r="V24" s="4">
        <f t="shared" ref="V24" si="33">SUM(I24:L24)</f>
        <v>9</v>
      </c>
      <c r="W24" s="4">
        <f t="shared" ref="W24" si="34">SUM(J24:M24)</f>
        <v>16</v>
      </c>
      <c r="X24" s="4">
        <f t="shared" ref="X24" si="35">SUM(K24:N24)</f>
        <v>12</v>
      </c>
      <c r="Y24" s="4">
        <f t="shared" ref="Y24" si="36">SUM(L24:O24)</f>
        <v>8</v>
      </c>
      <c r="Z24" s="4">
        <f t="shared" ref="Z24" si="37">SUM(M24:P24)</f>
        <v>2.032</v>
      </c>
      <c r="AA24" s="4">
        <f>+AA23*AA32</f>
        <v>256.2115479466251</v>
      </c>
      <c r="AB24" s="4">
        <f t="shared" ref="AB24:AJ24" si="38">+AB23*AB32</f>
        <v>303.54349318537561</v>
      </c>
      <c r="AC24" s="4">
        <f t="shared" si="38"/>
        <v>356.53638525311698</v>
      </c>
      <c r="AD24" s="4">
        <f t="shared" si="38"/>
        <v>415.80136546863127</v>
      </c>
      <c r="AE24" s="4">
        <f t="shared" si="38"/>
        <v>482.01322179816992</v>
      </c>
      <c r="AF24" s="4">
        <f t="shared" si="38"/>
        <v>555.91691614463514</v>
      </c>
      <c r="AG24" s="4">
        <f t="shared" si="38"/>
        <v>638.33477586271829</v>
      </c>
      <c r="AH24" s="4">
        <f t="shared" si="38"/>
        <v>730.17441678441742</v>
      </c>
      <c r="AI24" s="4">
        <f t="shared" si="38"/>
        <v>832.43747183451217</v>
      </c>
      <c r="AJ24" s="4">
        <f t="shared" si="38"/>
        <v>946.22920679548474</v>
      </c>
    </row>
    <row r="25" spans="1:137" s="9" customFormat="1" x14ac:dyDescent="0.2">
      <c r="A25" s="14" t="s">
        <v>38</v>
      </c>
      <c r="B25" s="9">
        <f t="shared" ref="B25:M25" si="39">+B23-B24</f>
        <v>-65.610000000000014</v>
      </c>
      <c r="C25" s="9">
        <f t="shared" si="39"/>
        <v>-69.551000000000016</v>
      </c>
      <c r="D25" s="9">
        <f t="shared" si="39"/>
        <v>-47.305000000000021</v>
      </c>
      <c r="E25" s="9">
        <f t="shared" si="39"/>
        <v>-42.768999999999998</v>
      </c>
      <c r="F25" s="9">
        <f t="shared" si="39"/>
        <v>-45.23899999999999</v>
      </c>
      <c r="G25" s="9">
        <f t="shared" si="39"/>
        <v>-47.752999999999965</v>
      </c>
      <c r="H25" s="9">
        <f t="shared" si="39"/>
        <v>-24.767000000000017</v>
      </c>
      <c r="I25" s="9">
        <f t="shared" si="39"/>
        <v>-21.204000000000001</v>
      </c>
      <c r="J25" s="9">
        <f t="shared" si="39"/>
        <v>-33.738550000000025</v>
      </c>
      <c r="K25" s="9">
        <f t="shared" si="39"/>
        <v>-29.537246099999997</v>
      </c>
      <c r="L25" s="9">
        <f t="shared" si="39"/>
        <v>-25.090113874999979</v>
      </c>
      <c r="M25" s="9">
        <f t="shared" si="39"/>
        <v>-20.384142691089998</v>
      </c>
      <c r="P25" s="9">
        <f>+P23-P24</f>
        <v>-167.17399999999998</v>
      </c>
      <c r="Q25" s="9">
        <f>+Q23-Q24</f>
        <v>-129.43399999999997</v>
      </c>
      <c r="R25" s="9">
        <f>+R23-R24</f>
        <v>-203.84800000000007</v>
      </c>
      <c r="S25" s="9">
        <f>+S23-S24</f>
        <v>-204.86399999999998</v>
      </c>
      <c r="T25" s="9">
        <f>+T23-T24</f>
        <v>-129.46254999999991</v>
      </c>
      <c r="U25" s="9">
        <f t="shared" ref="U25:Z25" si="40">+U23-U24</f>
        <v>-8.8929315999999705</v>
      </c>
      <c r="V25" s="9">
        <f t="shared" si="40"/>
        <v>125.79807154799985</v>
      </c>
      <c r="W25" s="9">
        <f t="shared" si="40"/>
        <v>278.17366868227964</v>
      </c>
      <c r="X25" s="9">
        <f t="shared" si="40"/>
        <v>471.5809714546611</v>
      </c>
      <c r="Y25" s="9">
        <f t="shared" si="40"/>
        <v>699.87545236081758</v>
      </c>
      <c r="Z25" s="9">
        <f t="shared" si="40"/>
        <v>970.63677586765562</v>
      </c>
      <c r="AA25" s="9">
        <f t="shared" ref="AA25" si="41">+AA23-AA24</f>
        <v>908.3863972653071</v>
      </c>
      <c r="AB25" s="9">
        <f t="shared" ref="AB25" si="42">+AB23-AB24</f>
        <v>1076.1996576572408</v>
      </c>
      <c r="AC25" s="9">
        <f t="shared" ref="AC25" si="43">+AC23-AC24</f>
        <v>1264.0835477155965</v>
      </c>
      <c r="AD25" s="9">
        <f t="shared" ref="AD25" si="44">+AD23-AD24</f>
        <v>1474.2048412069655</v>
      </c>
      <c r="AE25" s="9">
        <f t="shared" ref="AE25" si="45">+AE23-AE24</f>
        <v>1708.9559681935116</v>
      </c>
      <c r="AF25" s="9">
        <f t="shared" ref="AF25" si="46">+AF23-AF24</f>
        <v>1970.9781572400698</v>
      </c>
      <c r="AG25" s="9">
        <f t="shared" ref="AG25" si="47">+AG23-AG24</f>
        <v>2263.1869326041829</v>
      </c>
      <c r="AH25" s="9">
        <f t="shared" ref="AH25" si="48">+AH23-AH24</f>
        <v>2588.800204962934</v>
      </c>
      <c r="AI25" s="9">
        <f t="shared" ref="AI25" si="49">+AI23-AI24</f>
        <v>2951.3692183223616</v>
      </c>
      <c r="AJ25" s="9">
        <f t="shared" ref="AJ25" si="50">+AJ23-AJ24</f>
        <v>3354.8126422749001</v>
      </c>
      <c r="AK25" s="9">
        <f>+AJ25*(1+$AM$30)</f>
        <v>3287.7163894294022</v>
      </c>
      <c r="AL25" s="9">
        <f t="shared" ref="AL25:CW25" si="51">+AK25*(1+$AM$30)</f>
        <v>3221.9620616408142</v>
      </c>
      <c r="AM25" s="9">
        <f t="shared" si="51"/>
        <v>3157.5228204079981</v>
      </c>
      <c r="AN25" s="9">
        <f t="shared" si="51"/>
        <v>3094.3723639998379</v>
      </c>
      <c r="AO25" s="9">
        <f t="shared" si="51"/>
        <v>3032.4849167198413</v>
      </c>
      <c r="AP25" s="9">
        <f t="shared" si="51"/>
        <v>2971.8352183854445</v>
      </c>
      <c r="AQ25" s="9">
        <f t="shared" si="51"/>
        <v>2912.3985140177356</v>
      </c>
      <c r="AR25" s="9">
        <f t="shared" si="51"/>
        <v>2854.1505437373808</v>
      </c>
      <c r="AS25" s="9">
        <f t="shared" si="51"/>
        <v>2797.067532862633</v>
      </c>
      <c r="AT25" s="9">
        <f t="shared" si="51"/>
        <v>2741.1261822053802</v>
      </c>
      <c r="AU25" s="9">
        <f t="shared" si="51"/>
        <v>2686.3036585612726</v>
      </c>
      <c r="AV25" s="9">
        <f t="shared" si="51"/>
        <v>2632.5775853900473</v>
      </c>
      <c r="AW25" s="9">
        <f t="shared" si="51"/>
        <v>2579.9260336822463</v>
      </c>
      <c r="AX25" s="9">
        <f t="shared" si="51"/>
        <v>2528.3275130086013</v>
      </c>
      <c r="AY25" s="9">
        <f t="shared" si="51"/>
        <v>2477.7609627484294</v>
      </c>
      <c r="AZ25" s="9">
        <f t="shared" si="51"/>
        <v>2428.2057434934609</v>
      </c>
      <c r="BA25" s="9">
        <f t="shared" si="51"/>
        <v>2379.6416286235917</v>
      </c>
      <c r="BB25" s="9">
        <f t="shared" si="51"/>
        <v>2332.04879605112</v>
      </c>
      <c r="BC25" s="9">
        <f t="shared" si="51"/>
        <v>2285.4078201300977</v>
      </c>
      <c r="BD25" s="9">
        <f t="shared" si="51"/>
        <v>2239.6996637274956</v>
      </c>
      <c r="BE25" s="9">
        <f t="shared" si="51"/>
        <v>2194.9056704529457</v>
      </c>
      <c r="BF25" s="9">
        <f t="shared" si="51"/>
        <v>2151.0075570438867</v>
      </c>
      <c r="BG25" s="9">
        <f t="shared" si="51"/>
        <v>2107.9874059030089</v>
      </c>
      <c r="BH25" s="9">
        <f t="shared" si="51"/>
        <v>2065.8276577849488</v>
      </c>
      <c r="BI25" s="9">
        <f t="shared" si="51"/>
        <v>2024.5111046292498</v>
      </c>
      <c r="BJ25" s="9">
        <f t="shared" si="51"/>
        <v>1984.0208825366647</v>
      </c>
      <c r="BK25" s="9">
        <f t="shared" si="51"/>
        <v>1944.3404648859314</v>
      </c>
      <c r="BL25" s="9">
        <f t="shared" si="51"/>
        <v>1905.4536555882128</v>
      </c>
      <c r="BM25" s="9">
        <f t="shared" si="51"/>
        <v>1867.3445824764485</v>
      </c>
      <c r="BN25" s="9">
        <f t="shared" si="51"/>
        <v>1829.9976908269196</v>
      </c>
      <c r="BO25" s="9">
        <f t="shared" si="51"/>
        <v>1793.3977370103812</v>
      </c>
      <c r="BP25" s="9">
        <f t="shared" si="51"/>
        <v>1757.5297822701737</v>
      </c>
      <c r="BQ25" s="9">
        <f t="shared" si="51"/>
        <v>1722.3791866247702</v>
      </c>
      <c r="BR25" s="9">
        <f t="shared" si="51"/>
        <v>1687.9316028922749</v>
      </c>
      <c r="BS25" s="9">
        <f t="shared" si="51"/>
        <v>1654.1729708344294</v>
      </c>
      <c r="BT25" s="9">
        <f t="shared" si="51"/>
        <v>1621.0895114177408</v>
      </c>
      <c r="BU25" s="9">
        <f t="shared" si="51"/>
        <v>1588.6677211893859</v>
      </c>
      <c r="BV25" s="9">
        <f t="shared" si="51"/>
        <v>1556.8943667655981</v>
      </c>
      <c r="BW25" s="9">
        <f t="shared" si="51"/>
        <v>1525.7564794302862</v>
      </c>
      <c r="BX25" s="9">
        <f t="shared" si="51"/>
        <v>1495.2413498416804</v>
      </c>
      <c r="BY25" s="9">
        <f t="shared" si="51"/>
        <v>1465.3365228448467</v>
      </c>
      <c r="BZ25" s="9">
        <f t="shared" si="51"/>
        <v>1436.0297923879498</v>
      </c>
      <c r="CA25" s="9">
        <f t="shared" si="51"/>
        <v>1407.3091965401907</v>
      </c>
      <c r="CB25" s="9">
        <f t="shared" si="51"/>
        <v>1379.1630126093869</v>
      </c>
      <c r="CC25" s="9">
        <f t="shared" si="51"/>
        <v>1351.5797523571991</v>
      </c>
      <c r="CD25" s="9">
        <f t="shared" si="51"/>
        <v>1324.5481573100551</v>
      </c>
      <c r="CE25" s="9">
        <f t="shared" si="51"/>
        <v>1298.0571941638539</v>
      </c>
      <c r="CF25" s="9">
        <f t="shared" si="51"/>
        <v>1272.0960502805767</v>
      </c>
      <c r="CG25" s="9">
        <f t="shared" si="51"/>
        <v>1246.6541292749653</v>
      </c>
      <c r="CH25" s="9">
        <f t="shared" si="51"/>
        <v>1221.721046689466</v>
      </c>
      <c r="CI25" s="9">
        <f t="shared" si="51"/>
        <v>1197.2866257556766</v>
      </c>
      <c r="CJ25" s="9">
        <f t="shared" si="51"/>
        <v>1173.340893240563</v>
      </c>
      <c r="CK25" s="9">
        <f t="shared" si="51"/>
        <v>1149.8740753757518</v>
      </c>
      <c r="CL25" s="9">
        <f t="shared" si="51"/>
        <v>1126.8765938682368</v>
      </c>
      <c r="CM25" s="9">
        <f t="shared" si="51"/>
        <v>1104.3390619908721</v>
      </c>
      <c r="CN25" s="9">
        <f t="shared" si="51"/>
        <v>1082.2522807510547</v>
      </c>
      <c r="CO25" s="9">
        <f t="shared" si="51"/>
        <v>1060.6072351360335</v>
      </c>
      <c r="CP25" s="9">
        <f t="shared" si="51"/>
        <v>1039.3950904333128</v>
      </c>
      <c r="CQ25" s="9">
        <f t="shared" si="51"/>
        <v>1018.6071886246466</v>
      </c>
      <c r="CR25" s="9">
        <f t="shared" si="51"/>
        <v>998.23504485215369</v>
      </c>
      <c r="CS25" s="9">
        <f t="shared" si="51"/>
        <v>978.27034395511055</v>
      </c>
      <c r="CT25" s="9">
        <f t="shared" si="51"/>
        <v>958.70493707600826</v>
      </c>
      <c r="CU25" s="9">
        <f t="shared" si="51"/>
        <v>939.53083833448807</v>
      </c>
      <c r="CV25" s="9">
        <f t="shared" si="51"/>
        <v>920.74022156779824</v>
      </c>
      <c r="CW25" s="9">
        <f t="shared" si="51"/>
        <v>902.3254171364423</v>
      </c>
      <c r="CX25" s="9">
        <f t="shared" ref="CX25:EG25" si="52">+CW25*(1+$AM$30)</f>
        <v>884.27890879371341</v>
      </c>
      <c r="CY25" s="9">
        <f t="shared" si="52"/>
        <v>866.59333061783911</v>
      </c>
      <c r="CZ25" s="9">
        <f t="shared" si="52"/>
        <v>849.26146400548237</v>
      </c>
      <c r="DA25" s="9">
        <f t="shared" si="52"/>
        <v>832.27623472537266</v>
      </c>
      <c r="DB25" s="9">
        <f t="shared" si="52"/>
        <v>815.6307100308652</v>
      </c>
      <c r="DC25" s="9">
        <f t="shared" si="52"/>
        <v>799.3180958302479</v>
      </c>
      <c r="DD25" s="9">
        <f t="shared" si="52"/>
        <v>783.33173391364289</v>
      </c>
      <c r="DE25" s="9">
        <f t="shared" si="52"/>
        <v>767.66509923537001</v>
      </c>
      <c r="DF25" s="9">
        <f t="shared" si="52"/>
        <v>752.31179725066261</v>
      </c>
      <c r="DG25" s="9">
        <f t="shared" si="52"/>
        <v>737.26556130564938</v>
      </c>
      <c r="DH25" s="9">
        <f t="shared" si="52"/>
        <v>722.52025007953637</v>
      </c>
      <c r="DI25" s="9">
        <f t="shared" si="52"/>
        <v>708.06984507794562</v>
      </c>
      <c r="DJ25" s="9">
        <f t="shared" si="52"/>
        <v>693.90844817638674</v>
      </c>
      <c r="DK25" s="9">
        <f t="shared" si="52"/>
        <v>680.030279212859</v>
      </c>
      <c r="DL25" s="9">
        <f t="shared" si="52"/>
        <v>666.42967362860179</v>
      </c>
      <c r="DM25" s="9">
        <f t="shared" si="52"/>
        <v>653.10108015602975</v>
      </c>
      <c r="DN25" s="9">
        <f t="shared" si="52"/>
        <v>640.03905855290918</v>
      </c>
      <c r="DO25" s="9">
        <f t="shared" si="52"/>
        <v>627.23827738185093</v>
      </c>
      <c r="DP25" s="9">
        <f t="shared" si="52"/>
        <v>614.69351183421395</v>
      </c>
      <c r="DQ25" s="9">
        <f t="shared" si="52"/>
        <v>602.39964159752969</v>
      </c>
      <c r="DR25" s="9">
        <f t="shared" si="52"/>
        <v>590.35164876557906</v>
      </c>
      <c r="DS25" s="9">
        <f t="shared" si="52"/>
        <v>578.54461579026747</v>
      </c>
      <c r="DT25" s="9">
        <f t="shared" si="52"/>
        <v>566.97372347446208</v>
      </c>
      <c r="DU25" s="9">
        <f t="shared" si="52"/>
        <v>555.63424900497284</v>
      </c>
      <c r="DV25" s="9">
        <f t="shared" si="52"/>
        <v>544.52156402487333</v>
      </c>
      <c r="DW25" s="9">
        <f t="shared" si="52"/>
        <v>533.6311327443758</v>
      </c>
      <c r="DX25" s="9">
        <f t="shared" si="52"/>
        <v>522.9585100894883</v>
      </c>
      <c r="DY25" s="9">
        <f t="shared" si="52"/>
        <v>512.49933988769851</v>
      </c>
      <c r="DZ25" s="9">
        <f t="shared" si="52"/>
        <v>502.24935308994452</v>
      </c>
      <c r="EA25" s="9">
        <f t="shared" si="52"/>
        <v>492.20436602814561</v>
      </c>
      <c r="EB25" s="9">
        <f t="shared" si="52"/>
        <v>482.36027870758267</v>
      </c>
      <c r="EC25" s="9">
        <f t="shared" si="52"/>
        <v>472.71307313343101</v>
      </c>
      <c r="ED25" s="9">
        <f t="shared" si="52"/>
        <v>463.25881167076238</v>
      </c>
      <c r="EE25" s="9">
        <f t="shared" si="52"/>
        <v>453.99363543734711</v>
      </c>
      <c r="EF25" s="9">
        <f t="shared" si="52"/>
        <v>444.91376272860015</v>
      </c>
      <c r="EG25" s="9">
        <f t="shared" si="52"/>
        <v>436.01548747402813</v>
      </c>
    </row>
    <row r="26" spans="1:137" x14ac:dyDescent="0.2">
      <c r="A26" s="13" t="s">
        <v>39</v>
      </c>
      <c r="B26" s="11">
        <f t="shared" ref="B26:M26" si="53">+B25/B27</f>
        <v>-0.69941548650652607</v>
      </c>
      <c r="C26" s="11">
        <f t="shared" si="53"/>
        <v>-0.7350454096704272</v>
      </c>
      <c r="D26" s="11">
        <f t="shared" si="53"/>
        <v>-0.49634263521016586</v>
      </c>
      <c r="E26" s="11">
        <f t="shared" si="53"/>
        <v>-0.44526911327481122</v>
      </c>
      <c r="F26" s="11">
        <f t="shared" si="53"/>
        <v>-0.46648703768955196</v>
      </c>
      <c r="G26" s="11">
        <f t="shared" si="53"/>
        <v>-0.48756382460407754</v>
      </c>
      <c r="H26" s="11">
        <f t="shared" si="53"/>
        <v>-0.23699732324216793</v>
      </c>
      <c r="I26" s="11">
        <f t="shared" si="53"/>
        <v>-0.20290270287184259</v>
      </c>
      <c r="J26" s="11">
        <f t="shared" si="53"/>
        <v>-0.31679389671361524</v>
      </c>
      <c r="K26" s="11">
        <f t="shared" si="53"/>
        <v>-0.2760490289719626</v>
      </c>
      <c r="L26" s="11">
        <f t="shared" si="53"/>
        <v>-0.23018453096330255</v>
      </c>
      <c r="M26" s="11">
        <f t="shared" si="53"/>
        <v>-0.18701048340449539</v>
      </c>
      <c r="P26" s="11">
        <f>+P25/P27</f>
        <v>-2.1215046771986481</v>
      </c>
      <c r="Q26" s="11">
        <f>+Q25/Q27</f>
        <v>-1.4842141168010938</v>
      </c>
      <c r="R26" s="11">
        <f>+R25/R27</f>
        <v>-2.2026395303712509</v>
      </c>
      <c r="S26" s="11">
        <f>+S25/S27</f>
        <v>-2.1400222902274861</v>
      </c>
      <c r="T26" s="11">
        <f>+T25/T27</f>
        <v>-1.2525140094248557</v>
      </c>
      <c r="U26" s="11">
        <f t="shared" ref="U26:AJ26" si="54">+U25/U27</f>
        <v>-8.3530707992815742E-2</v>
      </c>
      <c r="V26" s="11">
        <f t="shared" si="54"/>
        <v>1.1471969120309744</v>
      </c>
      <c r="W26" s="11">
        <f t="shared" si="54"/>
        <v>2.4628773191192024</v>
      </c>
      <c r="X26" s="11">
        <f t="shared" si="54"/>
        <v>4.0536459022188662</v>
      </c>
      <c r="Y26" s="11">
        <f t="shared" si="54"/>
        <v>5.8408099177059469</v>
      </c>
      <c r="Z26" s="11">
        <f t="shared" si="54"/>
        <v>7.8645128969320366</v>
      </c>
      <c r="AA26" s="11">
        <f t="shared" si="54"/>
        <v>7.1457609659766712</v>
      </c>
      <c r="AB26" s="11">
        <f t="shared" si="54"/>
        <v>8.2192745422805302</v>
      </c>
      <c r="AC26" s="11">
        <f t="shared" si="54"/>
        <v>9.3730124043974161</v>
      </c>
      <c r="AD26" s="11">
        <f t="shared" si="54"/>
        <v>10.612654387623044</v>
      </c>
      <c r="AE26" s="11">
        <f t="shared" si="54"/>
        <v>11.944276174570938</v>
      </c>
      <c r="AF26" s="11">
        <f t="shared" si="54"/>
        <v>13.374376663254154</v>
      </c>
      <c r="AG26" s="11">
        <f t="shared" si="54"/>
        <v>14.909907217632755</v>
      </c>
      <c r="AH26" s="11">
        <f t="shared" si="54"/>
        <v>16.558302929652577</v>
      </c>
      <c r="AI26" s="11">
        <f t="shared" si="54"/>
        <v>18.327516030622686</v>
      </c>
      <c r="AJ26" s="11">
        <f t="shared" si="54"/>
        <v>20.226051599202588</v>
      </c>
    </row>
    <row r="27" spans="1:137" x14ac:dyDescent="0.2">
      <c r="A27" s="13" t="s">
        <v>4</v>
      </c>
      <c r="B27" s="4">
        <v>93.806901999999994</v>
      </c>
      <c r="C27" s="4">
        <v>94.621364999999997</v>
      </c>
      <c r="D27" s="4">
        <v>95.307146000000003</v>
      </c>
      <c r="E27" s="4">
        <v>96.052025</v>
      </c>
      <c r="F27" s="4">
        <v>96.978043</v>
      </c>
      <c r="G27" s="4">
        <v>97.942048999999997</v>
      </c>
      <c r="H27" s="4">
        <v>104.50329000000001</v>
      </c>
      <c r="I27" s="4">
        <v>104.50329000000001</v>
      </c>
      <c r="J27" s="4">
        <v>106.5</v>
      </c>
      <c r="K27" s="4">
        <v>107</v>
      </c>
      <c r="L27" s="4">
        <v>109</v>
      </c>
      <c r="M27" s="4">
        <v>109</v>
      </c>
      <c r="P27" s="4">
        <v>78.799732000000006</v>
      </c>
      <c r="Q27" s="4">
        <v>87.207093999999998</v>
      </c>
      <c r="R27" s="4">
        <v>92.547145</v>
      </c>
      <c r="S27" s="4">
        <v>95.729844</v>
      </c>
      <c r="T27" s="4">
        <f>AVERAGE(G27:J27)</f>
        <v>103.36215725</v>
      </c>
      <c r="U27" s="4">
        <f>+T27*1.03</f>
        <v>106.4630219675</v>
      </c>
      <c r="V27" s="4">
        <f t="shared" ref="V27:AJ27" si="55">+U27*1.03</f>
        <v>109.656912626525</v>
      </c>
      <c r="W27" s="4">
        <f t="shared" si="55"/>
        <v>112.94662000532075</v>
      </c>
      <c r="X27" s="4">
        <f t="shared" si="55"/>
        <v>116.33501860548039</v>
      </c>
      <c r="Y27" s="4">
        <f t="shared" si="55"/>
        <v>119.8250691636448</v>
      </c>
      <c r="Z27" s="4">
        <f t="shared" si="55"/>
        <v>123.41982123855415</v>
      </c>
      <c r="AA27" s="4">
        <f t="shared" si="55"/>
        <v>127.12241587571077</v>
      </c>
      <c r="AB27" s="4">
        <f t="shared" si="55"/>
        <v>130.93608835198211</v>
      </c>
      <c r="AC27" s="4">
        <f t="shared" si="55"/>
        <v>134.86417100254158</v>
      </c>
      <c r="AD27" s="4">
        <f t="shared" si="55"/>
        <v>138.91009613261784</v>
      </c>
      <c r="AE27" s="4">
        <f t="shared" si="55"/>
        <v>143.07739901659639</v>
      </c>
      <c r="AF27" s="4">
        <f t="shared" si="55"/>
        <v>147.3697209870943</v>
      </c>
      <c r="AG27" s="4">
        <f t="shared" si="55"/>
        <v>151.79081261670714</v>
      </c>
      <c r="AH27" s="4">
        <f t="shared" si="55"/>
        <v>156.34453699520836</v>
      </c>
      <c r="AI27" s="4">
        <f t="shared" si="55"/>
        <v>161.03487310506461</v>
      </c>
      <c r="AJ27" s="4">
        <f t="shared" si="55"/>
        <v>165.86591929821654</v>
      </c>
    </row>
    <row r="28" spans="1:137" x14ac:dyDescent="0.2">
      <c r="B28" s="4"/>
    </row>
    <row r="29" spans="1:137" s="8" customFormat="1" x14ac:dyDescent="0.2">
      <c r="A29" s="15" t="s">
        <v>40</v>
      </c>
      <c r="B29" s="8">
        <f t="shared" ref="B29:I29" si="56">+B15/B13</f>
        <v>0.71856029746610683</v>
      </c>
      <c r="C29" s="8">
        <f t="shared" si="56"/>
        <v>0.7081785501497514</v>
      </c>
      <c r="D29" s="8">
        <f t="shared" si="56"/>
        <v>0.71725901187968277</v>
      </c>
      <c r="E29" s="8">
        <f t="shared" si="56"/>
        <v>0.72608407450303381</v>
      </c>
      <c r="F29" s="8">
        <f t="shared" si="56"/>
        <v>0.7367945388492575</v>
      </c>
      <c r="G29" s="8">
        <f t="shared" si="56"/>
        <v>0.73625120424302049</v>
      </c>
      <c r="H29" s="8">
        <f t="shared" si="56"/>
        <v>0.7421574182581484</v>
      </c>
      <c r="I29" s="8">
        <f t="shared" si="56"/>
        <v>0.74191128715044963</v>
      </c>
      <c r="P29" s="8">
        <f>+P15/P13</f>
        <v>0.71308638510827371</v>
      </c>
      <c r="Q29" s="8">
        <f>+Q15/Q13</f>
        <v>0.7353214273388673</v>
      </c>
      <c r="R29" s="8">
        <f>+R15/R13</f>
        <v>0.73075023133814332</v>
      </c>
      <c r="S29" s="8">
        <f>+S15/S13</f>
        <v>0.72251725695961322</v>
      </c>
      <c r="T29" s="8">
        <f>+T15/T13</f>
        <v>0.7395840110701869</v>
      </c>
      <c r="AL29" s="15" t="s">
        <v>106</v>
      </c>
      <c r="AM29" s="8">
        <v>0.01</v>
      </c>
    </row>
    <row r="30" spans="1:137" s="8" customFormat="1" x14ac:dyDescent="0.2">
      <c r="A30" s="15" t="s">
        <v>41</v>
      </c>
      <c r="B30" s="8">
        <f t="shared" ref="B30:I30" si="57">+B20/B13</f>
        <v>-0.24909444131102346</v>
      </c>
      <c r="C30" s="8">
        <f t="shared" si="57"/>
        <v>-0.24248543471915107</v>
      </c>
      <c r="D30" s="8">
        <f t="shared" si="57"/>
        <v>-0.185430463576159</v>
      </c>
      <c r="E30" s="8">
        <f t="shared" si="57"/>
        <v>-0.14401637493353148</v>
      </c>
      <c r="F30" s="8">
        <f t="shared" si="57"/>
        <v>-0.13811481705073564</v>
      </c>
      <c r="G30" s="8">
        <f t="shared" si="57"/>
        <v>-0.1209247224709193</v>
      </c>
      <c r="H30" s="8">
        <f t="shared" si="57"/>
        <v>-6.9250383114625391E-2</v>
      </c>
      <c r="I30" s="8">
        <f t="shared" si="57"/>
        <v>-8.0510554737358853E-2</v>
      </c>
      <c r="P30" s="8">
        <f>+P20/P13</f>
        <v>-0.40013329591693553</v>
      </c>
      <c r="Q30" s="8">
        <f>+Q20/Q13</f>
        <v>-0.21278609802313592</v>
      </c>
      <c r="R30" s="8">
        <f>+R20/R13</f>
        <v>-0.20139753749533271</v>
      </c>
      <c r="S30" s="8">
        <f>+S20/S13</f>
        <v>-0.17575017142365357</v>
      </c>
      <c r="T30" s="8">
        <f>+T20/T13</f>
        <v>-9.3924052742076922E-2</v>
      </c>
      <c r="AL30" s="20" t="s">
        <v>101</v>
      </c>
      <c r="AM30" s="8">
        <v>-0.02</v>
      </c>
    </row>
    <row r="31" spans="1:137" s="8" customFormat="1" x14ac:dyDescent="0.2">
      <c r="A31" s="15" t="s">
        <v>42</v>
      </c>
      <c r="B31" s="8">
        <f t="shared" ref="B31:I31" si="58">+B25/B13</f>
        <v>-0.2741116751269036</v>
      </c>
      <c r="C31" s="8">
        <f t="shared" si="58"/>
        <v>-0.27811389109928392</v>
      </c>
      <c r="D31" s="8">
        <f t="shared" si="58"/>
        <v>-0.178913846770625</v>
      </c>
      <c r="E31" s="8">
        <f t="shared" si="58"/>
        <v>-0.15576946890729371</v>
      </c>
      <c r="F31" s="8">
        <f t="shared" si="58"/>
        <v>-0.16160190897367654</v>
      </c>
      <c r="G31" s="8">
        <f t="shared" si="58"/>
        <v>-0.16256174405027338</v>
      </c>
      <c r="H31" s="8">
        <f t="shared" si="58"/>
        <v>-7.9736133826123975E-2</v>
      </c>
      <c r="I31" s="8">
        <f t="shared" si="58"/>
        <v>-6.4654817552301069E-2</v>
      </c>
      <c r="P31" s="8">
        <f>+P25/P13</f>
        <v>-0.39094055469809641</v>
      </c>
      <c r="Q31" s="8">
        <f>+Q25/Q13</f>
        <v>-0.21271378775951572</v>
      </c>
      <c r="R31" s="8">
        <f>+R25/R13</f>
        <v>-0.2363800392868988</v>
      </c>
      <c r="S31" s="8">
        <f>+S25/S13</f>
        <v>-0.19164275778328868</v>
      </c>
      <c r="T31" s="8">
        <f>+T25/T13</f>
        <v>-0.10272180442775727</v>
      </c>
      <c r="AL31" s="20" t="s">
        <v>100</v>
      </c>
      <c r="AM31" s="8">
        <v>0.12</v>
      </c>
    </row>
    <row r="32" spans="1:137" s="8" customFormat="1" x14ac:dyDescent="0.2">
      <c r="A32" s="15" t="s">
        <v>43</v>
      </c>
      <c r="B32" s="8">
        <f>+B24/B23</f>
        <v>4.7681254082299146E-2</v>
      </c>
      <c r="C32" s="8" t="s">
        <v>48</v>
      </c>
      <c r="D32" s="8" t="s">
        <v>48</v>
      </c>
      <c r="E32" s="8" t="s">
        <v>48</v>
      </c>
      <c r="F32" s="8" t="s">
        <v>48</v>
      </c>
      <c r="G32" s="8" t="s">
        <v>48</v>
      </c>
      <c r="H32" s="8" t="s">
        <v>48</v>
      </c>
      <c r="I32" s="8" t="s">
        <v>48</v>
      </c>
      <c r="P32" s="8" t="s">
        <v>48</v>
      </c>
      <c r="Q32" s="8" t="s">
        <v>48</v>
      </c>
      <c r="R32" s="8" t="s">
        <v>48</v>
      </c>
      <c r="S32" s="8" t="s">
        <v>48</v>
      </c>
      <c r="T32" s="8" t="s">
        <v>48</v>
      </c>
      <c r="AA32" s="8">
        <v>0.22</v>
      </c>
      <c r="AB32" s="8">
        <v>0.22</v>
      </c>
      <c r="AC32" s="8">
        <v>0.22</v>
      </c>
      <c r="AD32" s="8">
        <v>0.22</v>
      </c>
      <c r="AE32" s="8">
        <v>0.22</v>
      </c>
      <c r="AF32" s="8">
        <v>0.22</v>
      </c>
      <c r="AG32" s="8">
        <v>0.22</v>
      </c>
      <c r="AH32" s="8">
        <v>0.22</v>
      </c>
      <c r="AI32" s="8">
        <v>0.22</v>
      </c>
      <c r="AJ32" s="8">
        <v>0.22</v>
      </c>
      <c r="AL32" s="20" t="s">
        <v>102</v>
      </c>
      <c r="AM32" s="18">
        <f>NPV(AM31,U25:EG25)</f>
        <v>10217.696142843151</v>
      </c>
    </row>
    <row r="33" spans="1:39" s="8" customFormat="1" x14ac:dyDescent="0.2">
      <c r="A33" s="15"/>
      <c r="AL33" s="20" t="s">
        <v>90</v>
      </c>
      <c r="AM33" s="18">
        <f>+AJ42</f>
        <v>2017.5228702575644</v>
      </c>
    </row>
    <row r="34" spans="1:39" s="8" customFormat="1" x14ac:dyDescent="0.2">
      <c r="A34" s="15" t="s">
        <v>98</v>
      </c>
      <c r="C34" s="8">
        <f t="shared" ref="C34:H34" si="59">+C13/B13-1</f>
        <v>4.4812099183221488E-2</v>
      </c>
      <c r="D34" s="8">
        <f t="shared" si="59"/>
        <v>5.7261447291077738E-2</v>
      </c>
      <c r="E34" s="8">
        <f t="shared" si="59"/>
        <v>3.8445391658881611E-2</v>
      </c>
      <c r="F34" s="8">
        <f t="shared" si="59"/>
        <v>1.9576349584435215E-2</v>
      </c>
      <c r="G34" s="8">
        <f t="shared" si="59"/>
        <v>4.9338967853940652E-2</v>
      </c>
      <c r="H34" s="8">
        <f t="shared" si="59"/>
        <v>5.7391754296977071E-2</v>
      </c>
      <c r="I34" s="8">
        <f>+I13/H13-1</f>
        <v>5.5841371228413594E-2</v>
      </c>
      <c r="J34" s="8">
        <f>+J13/I13-1</f>
        <v>6.2294752055909175E-3</v>
      </c>
      <c r="AL34" s="20" t="s">
        <v>103</v>
      </c>
      <c r="AM34" s="18">
        <f>+AM32-AM33</f>
        <v>8200.1732725855873</v>
      </c>
    </row>
    <row r="35" spans="1:39" s="8" customFormat="1" x14ac:dyDescent="0.2">
      <c r="A35" s="15" t="s">
        <v>99</v>
      </c>
      <c r="C35" s="8">
        <f t="shared" ref="C35:H35" si="60">+C14/B14-1</f>
        <v>8.3353126298913338E-2</v>
      </c>
      <c r="D35" s="8">
        <f t="shared" si="60"/>
        <v>2.4363172967566182E-2</v>
      </c>
      <c r="E35" s="8">
        <f t="shared" si="60"/>
        <v>6.0328798640929548E-3</v>
      </c>
      <c r="F35" s="8">
        <f t="shared" si="60"/>
        <v>-2.029039463886817E-2</v>
      </c>
      <c r="G35" s="8">
        <f t="shared" si="60"/>
        <v>5.1505116582069022E-2</v>
      </c>
      <c r="H35" s="8">
        <f t="shared" si="60"/>
        <v>3.3713231023400514E-2</v>
      </c>
      <c r="I35" s="8">
        <f>+I14/H14-1</f>
        <v>5.6849255203585969E-2</v>
      </c>
      <c r="J35" s="8">
        <f>+J14/I14-1</f>
        <v>1.6044044327875095E-2</v>
      </c>
      <c r="AL35" s="20" t="s">
        <v>105</v>
      </c>
      <c r="AM35" s="18">
        <f>+AM34/Main!D4</f>
        <v>81.344854317922156</v>
      </c>
    </row>
    <row r="36" spans="1:39" s="8" customFormat="1" x14ac:dyDescent="0.2">
      <c r="A36" s="15" t="s">
        <v>95</v>
      </c>
      <c r="C36" s="8">
        <f t="shared" ref="C36:E36" si="61">+C16/B16-1</f>
        <v>-2.7641472352187835E-3</v>
      </c>
      <c r="D36" s="8">
        <f t="shared" si="61"/>
        <v>-3.9174051799768628E-2</v>
      </c>
      <c r="E36" s="8">
        <f t="shared" si="61"/>
        <v>2.5195850095278471E-2</v>
      </c>
      <c r="F36" s="8">
        <f t="shared" ref="F36:H36" si="62">+F16/E16-1</f>
        <v>5.5413568773234223E-2</v>
      </c>
      <c r="G36" s="8">
        <f t="shared" si="62"/>
        <v>-1.3147434721457851E-2</v>
      </c>
      <c r="H36" s="8">
        <f t="shared" si="62"/>
        <v>-7.2127896889329079E-3</v>
      </c>
      <c r="I36" s="8">
        <f t="shared" ref="I36:J38" si="63">+I16/H16-1</f>
        <v>8.8555450142307812E-2</v>
      </c>
      <c r="J36" s="8">
        <f t="shared" si="63"/>
        <v>2.0000000000000018E-2</v>
      </c>
      <c r="Q36" s="8">
        <f t="shared" ref="Q36:S38" si="64">+Q16/P16-1</f>
        <v>0.20458970792767728</v>
      </c>
      <c r="R36" s="8">
        <f t="shared" si="64"/>
        <v>0.37428151182462122</v>
      </c>
      <c r="S36" s="8">
        <f t="shared" si="64"/>
        <v>0.14499143413415339</v>
      </c>
      <c r="AL36" s="20" t="s">
        <v>104</v>
      </c>
      <c r="AM36" s="19">
        <f>+Main!D3</f>
        <v>102</v>
      </c>
    </row>
    <row r="37" spans="1:39" s="8" customFormat="1" x14ac:dyDescent="0.2">
      <c r="A37" s="15" t="s">
        <v>96</v>
      </c>
      <c r="C37" s="8">
        <f t="shared" ref="C37:E37" si="65">+C17/B17-1</f>
        <v>5.3986830012731524E-2</v>
      </c>
      <c r="D37" s="8">
        <f t="shared" si="65"/>
        <v>2.5382781626481998E-2</v>
      </c>
      <c r="E37" s="8">
        <f t="shared" si="65"/>
        <v>-1.1405924527418732E-2</v>
      </c>
      <c r="F37" s="8">
        <f t="shared" ref="F37:H37" si="66">+F17/E17-1</f>
        <v>-2.432191418673102E-2</v>
      </c>
      <c r="G37" s="8">
        <f t="shared" si="66"/>
        <v>7.711408581712309E-2</v>
      </c>
      <c r="H37" s="8">
        <f t="shared" si="66"/>
        <v>4.5806456457575528E-4</v>
      </c>
      <c r="I37" s="8">
        <f t="shared" si="63"/>
        <v>6.2981310515649813E-2</v>
      </c>
      <c r="J37" s="8">
        <f t="shared" si="63"/>
        <v>3.0000000000000027E-2</v>
      </c>
      <c r="Q37" s="8">
        <f t="shared" si="64"/>
        <v>0.25035153396639886</v>
      </c>
      <c r="R37" s="8">
        <f t="shared" si="64"/>
        <v>0.4848198278789384</v>
      </c>
      <c r="S37" s="8">
        <f t="shared" si="64"/>
        <v>0.23823212625842838</v>
      </c>
    </row>
    <row r="38" spans="1:39" s="8" customFormat="1" x14ac:dyDescent="0.2">
      <c r="A38" s="15" t="s">
        <v>97</v>
      </c>
      <c r="B38" s="15"/>
      <c r="C38" s="8">
        <f t="shared" ref="C38:E38" si="67">+C18/B18-1</f>
        <v>-1.6108719210379263E-3</v>
      </c>
      <c r="D38" s="8">
        <f t="shared" si="67"/>
        <v>2.4554095282797395E-2</v>
      </c>
      <c r="E38" s="8">
        <f t="shared" si="67"/>
        <v>-6.1274158911953647E-3</v>
      </c>
      <c r="F38" s="8">
        <f t="shared" ref="F38:H38" si="68">+F18/E18-1</f>
        <v>0.13863040534700821</v>
      </c>
      <c r="G38" s="8">
        <f t="shared" si="68"/>
        <v>-4.0077929306985838E-2</v>
      </c>
      <c r="H38" s="8">
        <f t="shared" si="68"/>
        <v>1.9926724478768643E-2</v>
      </c>
      <c r="I38" s="8">
        <f t="shared" si="63"/>
        <v>5.6880733944954187E-2</v>
      </c>
      <c r="J38" s="8">
        <f t="shared" si="63"/>
        <v>3.0000000000000027E-2</v>
      </c>
      <c r="Q38" s="8">
        <f t="shared" si="64"/>
        <v>0.1332387448840382</v>
      </c>
      <c r="R38" s="8">
        <f t="shared" si="64"/>
        <v>0.18884169772615644</v>
      </c>
      <c r="S38" s="8">
        <f t="shared" si="64"/>
        <v>0.16044912144263268</v>
      </c>
    </row>
    <row r="40" spans="1:39" s="17" customFormat="1" x14ac:dyDescent="0.2">
      <c r="A40" s="16" t="s">
        <v>44</v>
      </c>
      <c r="B40" s="16"/>
      <c r="F40" s="17">
        <f>+F13/B13-1</f>
        <v>0.16956403668191622</v>
      </c>
      <c r="G40" s="17">
        <f>+G13/C13-1</f>
        <v>0.17463141942010818</v>
      </c>
      <c r="H40" s="17">
        <f>+H13/D13-1</f>
        <v>0.17477619222317609</v>
      </c>
      <c r="I40" s="17">
        <f>+I13/E13-1</f>
        <v>0.19445597779768797</v>
      </c>
      <c r="J40" s="17">
        <f t="shared" ref="J40:M40" si="69">+J13/F13-1</f>
        <v>0.17881982274836461</v>
      </c>
      <c r="K40" s="17">
        <f t="shared" si="69"/>
        <v>0.16832849366644753</v>
      </c>
      <c r="L40" s="17">
        <f t="shared" si="69"/>
        <v>0.14911207551543426</v>
      </c>
      <c r="M40" s="17">
        <f t="shared" si="69"/>
        <v>0.13187131239766203</v>
      </c>
      <c r="Q40" s="17">
        <f>+Q13/P13-1</f>
        <v>0.42296665263551758</v>
      </c>
      <c r="R40" s="17">
        <f>+R13/Q13-1</f>
        <v>0.41723843816404238</v>
      </c>
      <c r="S40" s="17">
        <f>+S13/R13-1</f>
        <v>0.23958862396129743</v>
      </c>
      <c r="T40" s="17">
        <f>+T13/S13-1</f>
        <v>0.1789850035875018</v>
      </c>
    </row>
    <row r="41" spans="1:39" s="8" customFormat="1" x14ac:dyDescent="0.2">
      <c r="B41" s="15"/>
    </row>
    <row r="42" spans="1:39" x14ac:dyDescent="0.2">
      <c r="A42" s="13" t="s">
        <v>90</v>
      </c>
      <c r="B42" s="2">
        <f t="shared" ref="B42:I42" si="70">+B43-B59</f>
        <v>297.11699999999996</v>
      </c>
      <c r="C42" s="2">
        <f t="shared" si="70"/>
        <v>284.37599999999986</v>
      </c>
      <c r="D42" s="2">
        <f t="shared" si="70"/>
        <v>291.99199999999996</v>
      </c>
      <c r="E42" s="4">
        <f t="shared" si="70"/>
        <v>312.76199999999994</v>
      </c>
      <c r="F42" s="4">
        <f t="shared" si="70"/>
        <v>350.13800000000003</v>
      </c>
      <c r="G42" s="4">
        <f t="shared" si="70"/>
        <v>391.96400000000006</v>
      </c>
      <c r="H42" s="4">
        <f t="shared" si="70"/>
        <v>401.09399999999994</v>
      </c>
      <c r="I42" s="4">
        <f t="shared" si="70"/>
        <v>449.45899999999995</v>
      </c>
      <c r="S42" s="4">
        <f>+I42*4</f>
        <v>1797.8359999999998</v>
      </c>
      <c r="T42" s="4">
        <f>+T25*$AM$29+S42</f>
        <v>1796.5413744999998</v>
      </c>
      <c r="U42" s="4">
        <f t="shared" ref="U42:AJ42" si="71">+U25*$AM$29+T42</f>
        <v>1796.4524451839998</v>
      </c>
      <c r="V42" s="4">
        <f t="shared" si="71"/>
        <v>1797.7104258994798</v>
      </c>
      <c r="W42" s="4">
        <f t="shared" si="71"/>
        <v>1800.4921625863026</v>
      </c>
      <c r="X42" s="4">
        <f t="shared" si="71"/>
        <v>1805.2079723008492</v>
      </c>
      <c r="Y42" s="4">
        <f t="shared" si="71"/>
        <v>1812.2067268244573</v>
      </c>
      <c r="Z42" s="4">
        <f t="shared" si="71"/>
        <v>1821.9130945831339</v>
      </c>
      <c r="AA42" s="4">
        <f t="shared" si="71"/>
        <v>1830.9969585557869</v>
      </c>
      <c r="AB42" s="4">
        <f t="shared" si="71"/>
        <v>1841.7589551323592</v>
      </c>
      <c r="AC42" s="4">
        <f t="shared" si="71"/>
        <v>1854.3997906095151</v>
      </c>
      <c r="AD42" s="4">
        <f t="shared" si="71"/>
        <v>1869.1418390215847</v>
      </c>
      <c r="AE42" s="4">
        <f t="shared" si="71"/>
        <v>1886.2313987035197</v>
      </c>
      <c r="AF42" s="4">
        <f t="shared" si="71"/>
        <v>1905.9411802759205</v>
      </c>
      <c r="AG42" s="4">
        <f t="shared" si="71"/>
        <v>1928.5730496019623</v>
      </c>
      <c r="AH42" s="4">
        <f t="shared" si="71"/>
        <v>1954.4610516515918</v>
      </c>
      <c r="AI42" s="4">
        <f t="shared" si="71"/>
        <v>1983.9747438348154</v>
      </c>
      <c r="AJ42" s="4">
        <f t="shared" si="71"/>
        <v>2017.5228702575644</v>
      </c>
    </row>
    <row r="43" spans="1:39" x14ac:dyDescent="0.2">
      <c r="A43" s="13" t="s">
        <v>6</v>
      </c>
      <c r="B43" s="2">
        <f>860.949+2.688</f>
        <v>863.63699999999994</v>
      </c>
      <c r="C43" s="4">
        <f>848.761+2.387</f>
        <v>851.14799999999991</v>
      </c>
      <c r="D43" s="4">
        <f>856.127+2.385</f>
        <v>858.51199999999994</v>
      </c>
      <c r="E43" s="4">
        <f>877.683+2.362</f>
        <v>880.04499999999996</v>
      </c>
      <c r="F43" s="4">
        <f>644.167+2.473+271.041</f>
        <v>917.68100000000004</v>
      </c>
      <c r="G43" s="4">
        <f>630.565+2.677+326.528</f>
        <v>959.7700000000001</v>
      </c>
      <c r="H43" s="4">
        <f>589.685+2.807+376.674</f>
        <v>969.16599999999994</v>
      </c>
      <c r="I43" s="4">
        <f>526.893+2.774+488.133</f>
        <v>1017.8</v>
      </c>
    </row>
    <row r="44" spans="1:39" x14ac:dyDescent="0.2">
      <c r="A44" s="13" t="s">
        <v>51</v>
      </c>
      <c r="B44" s="2">
        <v>215.22800000000001</v>
      </c>
      <c r="C44" s="4">
        <v>168.02</v>
      </c>
      <c r="D44" s="4">
        <v>185.90600000000001</v>
      </c>
      <c r="E44" s="4">
        <v>200.79</v>
      </c>
      <c r="F44" s="4">
        <v>260.91899999999998</v>
      </c>
      <c r="G44" s="4">
        <v>185.37200000000001</v>
      </c>
      <c r="H44" s="4">
        <v>232.25</v>
      </c>
      <c r="I44" s="4">
        <v>229.946</v>
      </c>
    </row>
    <row r="45" spans="1:39" x14ac:dyDescent="0.2">
      <c r="A45" s="13" t="s">
        <v>52</v>
      </c>
      <c r="B45" s="2">
        <v>43.628</v>
      </c>
      <c r="C45" s="4">
        <v>44.636000000000003</v>
      </c>
      <c r="D45" s="4">
        <v>45.417999999999999</v>
      </c>
      <c r="E45" s="4">
        <v>50.436</v>
      </c>
      <c r="F45" s="4">
        <v>55.813000000000002</v>
      </c>
      <c r="G45" s="4">
        <v>60.213999999999999</v>
      </c>
      <c r="H45" s="4">
        <v>62.732999999999997</v>
      </c>
      <c r="I45" s="4">
        <v>68.936999999999998</v>
      </c>
    </row>
    <row r="46" spans="1:39" x14ac:dyDescent="0.2">
      <c r="A46" s="13" t="s">
        <v>53</v>
      </c>
      <c r="B46" s="2">
        <v>41.215000000000003</v>
      </c>
      <c r="C46" s="4">
        <v>36.409999999999997</v>
      </c>
      <c r="D46" s="4">
        <v>33.03</v>
      </c>
      <c r="E46" s="4">
        <v>33.457000000000001</v>
      </c>
      <c r="F46" s="4">
        <v>39.875999999999998</v>
      </c>
      <c r="G46" s="4">
        <v>35.008000000000003</v>
      </c>
      <c r="H46" s="4">
        <v>37.619999999999997</v>
      </c>
      <c r="I46" s="4">
        <v>45.44</v>
      </c>
    </row>
    <row r="47" spans="1:39" x14ac:dyDescent="0.2">
      <c r="A47" s="13" t="s">
        <v>54</v>
      </c>
      <c r="B47" s="2">
        <v>7.2069999999999999</v>
      </c>
      <c r="C47" s="4">
        <v>6.4080000000000004</v>
      </c>
      <c r="D47" s="4">
        <v>5.6959999999999997</v>
      </c>
      <c r="E47" s="4">
        <v>3.9510000000000001</v>
      </c>
      <c r="F47" s="4">
        <v>5.0919999999999996</v>
      </c>
      <c r="G47" s="4">
        <v>5.0419999999999998</v>
      </c>
      <c r="H47" s="4">
        <v>4.9960000000000004</v>
      </c>
      <c r="I47" s="4">
        <v>5.5119999999999996</v>
      </c>
    </row>
    <row r="48" spans="1:39" x14ac:dyDescent="0.2">
      <c r="A48" s="13" t="s">
        <v>55</v>
      </c>
      <c r="B48" s="2">
        <f>303.906+45.8</f>
        <v>349.70600000000002</v>
      </c>
      <c r="C48" s="4">
        <f>303.655+41.591</f>
        <v>345.24599999999998</v>
      </c>
      <c r="D48" s="4">
        <f>303.742+37.384</f>
        <v>341.12600000000003</v>
      </c>
      <c r="E48" s="4">
        <f>303.853+33.175</f>
        <v>337.02800000000002</v>
      </c>
      <c r="F48" s="4">
        <f>303.642+29.104</f>
        <v>332.74599999999998</v>
      </c>
      <c r="G48" s="4">
        <f>303.836+24.896</f>
        <v>328.73200000000003</v>
      </c>
      <c r="H48" s="4">
        <f>303.494+21.008</f>
        <v>324.50200000000001</v>
      </c>
      <c r="I48" s="4">
        <f>319.546+23.822</f>
        <v>343.36799999999999</v>
      </c>
    </row>
    <row r="49" spans="1:9" x14ac:dyDescent="0.2">
      <c r="A49" s="13" t="s">
        <v>56</v>
      </c>
      <c r="B49" s="2">
        <v>25.437000000000001</v>
      </c>
      <c r="C49" s="4">
        <v>24.904</v>
      </c>
      <c r="D49" s="4">
        <v>29.84</v>
      </c>
      <c r="E49" s="4">
        <v>22.523</v>
      </c>
      <c r="F49" s="4">
        <v>19.997</v>
      </c>
      <c r="G49" s="4">
        <v>17.427</v>
      </c>
      <c r="H49" s="4">
        <v>18.236000000000001</v>
      </c>
      <c r="I49" s="4">
        <v>23.088000000000001</v>
      </c>
    </row>
    <row r="50" spans="1:9" x14ac:dyDescent="0.2">
      <c r="A50" s="13" t="s">
        <v>57</v>
      </c>
      <c r="B50" s="2">
        <v>74.418999999999997</v>
      </c>
      <c r="C50" s="4">
        <v>74.72</v>
      </c>
      <c r="D50" s="4">
        <v>77.543999999999997</v>
      </c>
      <c r="E50" s="4">
        <v>84.600999999999999</v>
      </c>
      <c r="F50" s="4">
        <v>95.879000000000005</v>
      </c>
      <c r="G50" s="4">
        <v>95.356999999999999</v>
      </c>
      <c r="H50" s="4">
        <v>95.626999999999995</v>
      </c>
      <c r="I50" s="4">
        <v>100.389</v>
      </c>
    </row>
    <row r="51" spans="1:9" x14ac:dyDescent="0.2">
      <c r="A51" s="13" t="s">
        <v>58</v>
      </c>
      <c r="B51" s="2">
        <v>5.8109999999999999</v>
      </c>
      <c r="C51" s="4">
        <v>5.0750000000000002</v>
      </c>
      <c r="D51" s="4">
        <v>5.3949999999999996</v>
      </c>
      <c r="E51" s="4">
        <v>5.6680000000000001</v>
      </c>
      <c r="F51" s="4">
        <v>7.423</v>
      </c>
      <c r="G51" s="4">
        <v>7.0640000000000001</v>
      </c>
      <c r="H51" s="4">
        <v>6.8239999999999998</v>
      </c>
      <c r="I51" s="4">
        <v>218.69300000000001</v>
      </c>
    </row>
    <row r="52" spans="1:9" x14ac:dyDescent="0.2">
      <c r="A52" s="13" t="s">
        <v>35</v>
      </c>
      <c r="B52" s="2">
        <v>16.643000000000001</v>
      </c>
      <c r="C52" s="4">
        <v>14.452</v>
      </c>
      <c r="D52" s="4">
        <v>11.654999999999999</v>
      </c>
      <c r="E52" s="4">
        <v>9.4700000000000006</v>
      </c>
      <c r="F52" s="4">
        <v>8.0760000000000005</v>
      </c>
      <c r="G52" s="4">
        <v>7.4240000000000004</v>
      </c>
      <c r="H52" s="4">
        <v>5.8920000000000003</v>
      </c>
      <c r="I52" s="4">
        <v>5.7489999999999997</v>
      </c>
    </row>
    <row r="53" spans="1:9" x14ac:dyDescent="0.2">
      <c r="A53" s="13" t="s">
        <v>59</v>
      </c>
      <c r="B53" s="2">
        <f t="shared" ref="B53:I53" si="72">SUM(B43:B52)</f>
        <v>1642.931</v>
      </c>
      <c r="C53" s="2">
        <f t="shared" si="72"/>
        <v>1571.019</v>
      </c>
      <c r="D53" s="4">
        <f t="shared" si="72"/>
        <v>1594.1219999999996</v>
      </c>
      <c r="E53" s="4">
        <f t="shared" si="72"/>
        <v>1627.9690000000001</v>
      </c>
      <c r="F53" s="4">
        <f t="shared" si="72"/>
        <v>1743.502</v>
      </c>
      <c r="G53" s="4">
        <f t="shared" si="72"/>
        <v>1701.4099999999999</v>
      </c>
      <c r="H53" s="4">
        <f t="shared" si="72"/>
        <v>1757.846</v>
      </c>
      <c r="I53" s="4">
        <f t="shared" si="72"/>
        <v>2058.9219999999996</v>
      </c>
    </row>
    <row r="54" spans="1:9" x14ac:dyDescent="0.2">
      <c r="A54" s="13" t="s">
        <v>60</v>
      </c>
      <c r="B54" s="2">
        <v>28.402999999999999</v>
      </c>
      <c r="C54" s="4">
        <v>38.061999999999998</v>
      </c>
      <c r="D54" s="4">
        <v>28.402999999999999</v>
      </c>
      <c r="E54" s="4">
        <v>29.245999999999999</v>
      </c>
      <c r="F54" s="4">
        <v>35.151000000000003</v>
      </c>
      <c r="G54" s="4">
        <v>16.035</v>
      </c>
      <c r="H54" s="4">
        <v>35.381999999999998</v>
      </c>
      <c r="I54" s="4">
        <v>10.935</v>
      </c>
    </row>
    <row r="55" spans="1:9" x14ac:dyDescent="0.2">
      <c r="A55" s="13" t="s">
        <v>61</v>
      </c>
      <c r="B55" s="2">
        <v>53.93</v>
      </c>
      <c r="C55" s="4">
        <v>47.3</v>
      </c>
      <c r="D55" s="4">
        <v>53.93</v>
      </c>
      <c r="E55" s="4">
        <v>58.091000000000001</v>
      </c>
      <c r="F55" s="4">
        <v>63.531999999999996</v>
      </c>
      <c r="G55" s="4">
        <v>64.453000000000003</v>
      </c>
      <c r="H55" s="4">
        <v>63.872999999999998</v>
      </c>
      <c r="I55" s="4">
        <v>64.834999999999994</v>
      </c>
    </row>
    <row r="56" spans="1:9" x14ac:dyDescent="0.2">
      <c r="A56" s="13" t="s">
        <v>62</v>
      </c>
      <c r="B56" s="2">
        <v>68.001999999999995</v>
      </c>
      <c r="C56" s="4">
        <v>56.054000000000002</v>
      </c>
      <c r="D56" s="4">
        <v>68.001999999999995</v>
      </c>
      <c r="E56" s="4">
        <v>67.884</v>
      </c>
      <c r="F56" s="4">
        <v>76.483000000000004</v>
      </c>
      <c r="G56" s="4">
        <v>72.7</v>
      </c>
      <c r="H56" s="4">
        <v>65.406999999999996</v>
      </c>
      <c r="I56" s="4">
        <v>78.049000000000007</v>
      </c>
    </row>
    <row r="57" spans="1:9" x14ac:dyDescent="0.2">
      <c r="A57" s="13" t="s">
        <v>56</v>
      </c>
      <c r="B57" s="2">
        <f>11.219+16.482</f>
        <v>27.701000000000001</v>
      </c>
      <c r="C57" s="4">
        <f>11.408+15.53</f>
        <v>26.937999999999999</v>
      </c>
      <c r="D57" s="4">
        <f>11.219+16.482</f>
        <v>27.701000000000001</v>
      </c>
      <c r="E57" s="4">
        <f>12.839+16.725</f>
        <v>29.564</v>
      </c>
      <c r="F57" s="4">
        <f>12.749+13.942</f>
        <v>26.691000000000003</v>
      </c>
      <c r="G57" s="4">
        <f>11.627+11.994</f>
        <v>23.621000000000002</v>
      </c>
      <c r="H57" s="4">
        <f>11.588+12.16</f>
        <v>23.747999999999998</v>
      </c>
      <c r="I57" s="4">
        <f>12.788+15.297</f>
        <v>28.085000000000001</v>
      </c>
    </row>
    <row r="58" spans="1:9" x14ac:dyDescent="0.2">
      <c r="A58" s="13" t="s">
        <v>52</v>
      </c>
      <c r="B58" s="2">
        <f>431.776+33.518</f>
        <v>465.29399999999998</v>
      </c>
      <c r="C58" s="4">
        <f>407.499+27.553</f>
        <v>435.05200000000002</v>
      </c>
      <c r="D58" s="4">
        <f>431.776+33.518</f>
        <v>465.29399999999998</v>
      </c>
      <c r="E58" s="4">
        <f>449.049+34.96</f>
        <v>484.00899999999996</v>
      </c>
      <c r="F58" s="4">
        <f>528.704+34.248</f>
        <v>562.952</v>
      </c>
      <c r="G58" s="4">
        <f>506.919+27.214</f>
        <v>534.13300000000004</v>
      </c>
      <c r="H58" s="4">
        <f>510.981+25.096</f>
        <v>536.077</v>
      </c>
      <c r="I58" s="4">
        <f>561.665+23.521</f>
        <v>585.18599999999992</v>
      </c>
    </row>
    <row r="59" spans="1:9" x14ac:dyDescent="0.2">
      <c r="A59" s="13" t="s">
        <v>7</v>
      </c>
      <c r="B59" s="2">
        <v>566.52</v>
      </c>
      <c r="C59" s="4">
        <v>566.77200000000005</v>
      </c>
      <c r="D59" s="4">
        <v>566.52</v>
      </c>
      <c r="E59" s="4">
        <v>567.28300000000002</v>
      </c>
      <c r="F59" s="4">
        <v>567.54300000000001</v>
      </c>
      <c r="G59" s="4">
        <v>567.80600000000004</v>
      </c>
      <c r="H59" s="4">
        <v>568.072</v>
      </c>
      <c r="I59" s="4">
        <v>568.34100000000001</v>
      </c>
    </row>
    <row r="60" spans="1:9" x14ac:dyDescent="0.2">
      <c r="A60" s="13" t="s">
        <v>35</v>
      </c>
      <c r="B60" s="2">
        <v>17.648</v>
      </c>
      <c r="C60" s="4">
        <v>7.3029999999999999</v>
      </c>
      <c r="D60" s="4">
        <v>17.648</v>
      </c>
      <c r="E60" s="4">
        <v>6.9029999999999996</v>
      </c>
      <c r="F60" s="4">
        <v>12.233000000000001</v>
      </c>
      <c r="G60" s="4">
        <v>10.939</v>
      </c>
      <c r="H60" s="4">
        <v>10.151</v>
      </c>
      <c r="I60" s="4">
        <v>15.654</v>
      </c>
    </row>
    <row r="61" spans="1:9" x14ac:dyDescent="0.2">
      <c r="A61" s="13" t="s">
        <v>63</v>
      </c>
      <c r="B61" s="2">
        <f t="shared" ref="B61:I61" si="73">SUM(B54:B60)</f>
        <v>1227.4979999999998</v>
      </c>
      <c r="C61" s="4">
        <f t="shared" si="73"/>
        <v>1177.481</v>
      </c>
      <c r="D61" s="4">
        <f t="shared" si="73"/>
        <v>1227.4979999999998</v>
      </c>
      <c r="E61" s="4">
        <f t="shared" si="73"/>
        <v>1242.98</v>
      </c>
      <c r="F61" s="4">
        <f t="shared" si="73"/>
        <v>1344.5849999999998</v>
      </c>
      <c r="G61" s="4">
        <f t="shared" si="73"/>
        <v>1289.6870000000001</v>
      </c>
      <c r="H61" s="4">
        <f t="shared" si="73"/>
        <v>1302.71</v>
      </c>
      <c r="I61" s="4">
        <f t="shared" si="73"/>
        <v>1351.085</v>
      </c>
    </row>
    <row r="62" spans="1:9" x14ac:dyDescent="0.2">
      <c r="A62" s="13" t="s">
        <v>64</v>
      </c>
      <c r="B62" s="2">
        <f t="shared" ref="B62:I62" si="74">+B53-B61</f>
        <v>415.43300000000022</v>
      </c>
      <c r="C62" s="4">
        <f t="shared" si="74"/>
        <v>393.53800000000001</v>
      </c>
      <c r="D62" s="4">
        <f t="shared" si="74"/>
        <v>366.6239999999998</v>
      </c>
      <c r="E62" s="4">
        <f t="shared" si="74"/>
        <v>384.98900000000003</v>
      </c>
      <c r="F62" s="4">
        <f t="shared" si="74"/>
        <v>398.91700000000014</v>
      </c>
      <c r="G62" s="4">
        <f t="shared" si="74"/>
        <v>411.72299999999973</v>
      </c>
      <c r="H62" s="4">
        <f t="shared" si="74"/>
        <v>455.13599999999997</v>
      </c>
      <c r="I62" s="4">
        <f t="shared" si="74"/>
        <v>707.83699999999953</v>
      </c>
    </row>
    <row r="63" spans="1:9" x14ac:dyDescent="0.2">
      <c r="A63" s="13" t="s">
        <v>65</v>
      </c>
      <c r="B63" s="2">
        <f t="shared" ref="B63:I63" si="75">+B61+B62</f>
        <v>1642.931</v>
      </c>
      <c r="C63" s="4">
        <f t="shared" si="75"/>
        <v>1571.019</v>
      </c>
      <c r="D63" s="4">
        <f t="shared" si="75"/>
        <v>1594.1219999999996</v>
      </c>
      <c r="E63" s="4">
        <f t="shared" si="75"/>
        <v>1627.9690000000001</v>
      </c>
      <c r="F63" s="4">
        <f t="shared" si="75"/>
        <v>1743.502</v>
      </c>
      <c r="G63" s="4">
        <f t="shared" si="75"/>
        <v>1701.4099999999999</v>
      </c>
      <c r="H63" s="4">
        <f t="shared" si="75"/>
        <v>1757.846</v>
      </c>
      <c r="I63" s="4">
        <f t="shared" si="75"/>
        <v>2058.9219999999996</v>
      </c>
    </row>
    <row r="65" spans="1:9" x14ac:dyDescent="0.2">
      <c r="A65" s="13" t="s">
        <v>66</v>
      </c>
      <c r="B65" s="4">
        <f t="shared" ref="B65:I65" si="76">+B25</f>
        <v>-65.610000000000014</v>
      </c>
      <c r="C65" s="4">
        <f t="shared" si="76"/>
        <v>-69.551000000000016</v>
      </c>
      <c r="D65" s="4">
        <f t="shared" si="76"/>
        <v>-47.305000000000021</v>
      </c>
      <c r="E65" s="4">
        <f t="shared" si="76"/>
        <v>-42.768999999999998</v>
      </c>
      <c r="F65" s="4">
        <f t="shared" si="76"/>
        <v>-45.23899999999999</v>
      </c>
      <c r="G65" s="4">
        <f t="shared" si="76"/>
        <v>-47.752999999999965</v>
      </c>
      <c r="H65" s="4">
        <f t="shared" si="76"/>
        <v>-24.767000000000017</v>
      </c>
      <c r="I65" s="4">
        <f t="shared" si="76"/>
        <v>-21.204000000000001</v>
      </c>
    </row>
    <row r="66" spans="1:9" x14ac:dyDescent="0.2">
      <c r="A66" s="13" t="s">
        <v>67</v>
      </c>
      <c r="B66" s="4">
        <v>-65.61</v>
      </c>
      <c r="C66" s="4">
        <v>-69.551000000000002</v>
      </c>
      <c r="D66" s="4">
        <v>-47.305</v>
      </c>
      <c r="E66" s="4">
        <v>-72.573999999999998</v>
      </c>
      <c r="F66" s="4">
        <v>-46.731000000000002</v>
      </c>
      <c r="G66" s="4">
        <v>-48.508000000000003</v>
      </c>
      <c r="H66" s="4">
        <v>-25</v>
      </c>
      <c r="I66" s="4">
        <v>102.82</v>
      </c>
    </row>
    <row r="67" spans="1:9" x14ac:dyDescent="0.2">
      <c r="A67" s="13" t="s">
        <v>68</v>
      </c>
      <c r="B67" s="4">
        <v>5.17</v>
      </c>
      <c r="C67" s="4">
        <v>5.2140000000000004</v>
      </c>
      <c r="D67" s="4">
        <v>5.2160000000000002</v>
      </c>
      <c r="E67" s="4">
        <v>5.0449999999999999</v>
      </c>
      <c r="F67" s="4">
        <v>4.758</v>
      </c>
      <c r="G67" s="4">
        <v>5.0529999999999999</v>
      </c>
      <c r="H67" s="4">
        <v>5</v>
      </c>
      <c r="I67" s="4">
        <v>13.853</v>
      </c>
    </row>
    <row r="68" spans="1:9" x14ac:dyDescent="0.2">
      <c r="A68" s="13" t="s">
        <v>69</v>
      </c>
      <c r="B68" s="4"/>
      <c r="C68" s="4">
        <v>0</v>
      </c>
      <c r="D68" s="4">
        <v>0</v>
      </c>
      <c r="F68" s="4">
        <v>-0.77200000000000002</v>
      </c>
      <c r="G68" s="4">
        <v>-2.468</v>
      </c>
      <c r="H68" s="4">
        <v>-1</v>
      </c>
      <c r="I68" s="4">
        <v>-6.3959999999999999</v>
      </c>
    </row>
    <row r="69" spans="1:9" x14ac:dyDescent="0.2">
      <c r="A69" s="13" t="s">
        <v>70</v>
      </c>
      <c r="B69" s="4">
        <v>17.364999999999998</v>
      </c>
      <c r="C69" s="4">
        <v>17.443999999999999</v>
      </c>
      <c r="D69" s="4">
        <v>18.23</v>
      </c>
      <c r="E69" s="4">
        <v>15.821</v>
      </c>
      <c r="F69" s="4">
        <v>17.405000000000001</v>
      </c>
      <c r="G69" s="4">
        <v>17.571999999999999</v>
      </c>
      <c r="H69" s="4">
        <v>18</v>
      </c>
      <c r="I69" s="4">
        <v>56.392000000000003</v>
      </c>
    </row>
    <row r="70" spans="1:9" x14ac:dyDescent="0.2">
      <c r="A70" s="13" t="s">
        <v>71</v>
      </c>
      <c r="B70" s="4">
        <v>0.249</v>
      </c>
      <c r="C70" s="4">
        <v>0.252</v>
      </c>
      <c r="D70" s="4">
        <v>0.254</v>
      </c>
      <c r="E70" s="4">
        <v>0.25700000000000001</v>
      </c>
      <c r="F70" s="4">
        <v>0.26</v>
      </c>
      <c r="G70" s="4">
        <v>0.26300000000000001</v>
      </c>
      <c r="H70" s="4">
        <v>0</v>
      </c>
      <c r="I70" s="4">
        <v>0.79800000000000004</v>
      </c>
    </row>
    <row r="71" spans="1:9" x14ac:dyDescent="0.2">
      <c r="A71" s="13" t="s">
        <v>56</v>
      </c>
      <c r="B71" s="4">
        <v>2.3769999999999998</v>
      </c>
      <c r="C71" s="4">
        <v>3.0049999999999999</v>
      </c>
      <c r="D71" s="4">
        <v>2.6440000000000001</v>
      </c>
      <c r="E71" s="4">
        <v>2.7050000000000001</v>
      </c>
      <c r="F71" s="4">
        <v>2.5259999999999998</v>
      </c>
      <c r="G71" s="4">
        <v>2.6520000000000001</v>
      </c>
      <c r="H71" s="4">
        <v>3</v>
      </c>
      <c r="I71" s="4">
        <v>8.1479999999999997</v>
      </c>
    </row>
    <row r="72" spans="1:9" x14ac:dyDescent="0.2">
      <c r="A72" s="13" t="s">
        <v>72</v>
      </c>
      <c r="B72" s="4">
        <v>0</v>
      </c>
      <c r="C72" s="4">
        <v>0</v>
      </c>
      <c r="D72" s="4">
        <v>0</v>
      </c>
      <c r="E72" s="4">
        <v>6.242</v>
      </c>
      <c r="F72" s="4">
        <v>0</v>
      </c>
      <c r="G72" s="4">
        <v>0</v>
      </c>
      <c r="H72" s="4">
        <v>0</v>
      </c>
      <c r="I72" s="4">
        <v>0</v>
      </c>
    </row>
    <row r="73" spans="1:9" x14ac:dyDescent="0.2">
      <c r="A73" s="13" t="s">
        <v>73</v>
      </c>
      <c r="B73" s="4">
        <v>43.640999999999998</v>
      </c>
      <c r="C73" s="4">
        <v>46.883000000000003</v>
      </c>
      <c r="D73" s="4">
        <v>47.286999999999999</v>
      </c>
      <c r="E73" s="4">
        <v>54.456000000000003</v>
      </c>
      <c r="F73" s="4">
        <v>55.412999999999997</v>
      </c>
      <c r="G73" s="4">
        <v>57.127000000000002</v>
      </c>
      <c r="H73" s="4">
        <v>56</v>
      </c>
      <c r="I73" s="4">
        <v>176.34399999999999</v>
      </c>
    </row>
    <row r="74" spans="1:9" x14ac:dyDescent="0.2">
      <c r="A74" s="13" t="s">
        <v>58</v>
      </c>
      <c r="B74" s="4">
        <v>-2.2109999999999999</v>
      </c>
      <c r="C74" s="4">
        <v>0.66700000000000004</v>
      </c>
      <c r="D74" s="4">
        <v>-0.747</v>
      </c>
      <c r="E74" s="4">
        <v>0.14799999999999999</v>
      </c>
      <c r="F74" s="4">
        <v>-2.0750000000000002</v>
      </c>
      <c r="G74" s="4">
        <v>0.39200000000000002</v>
      </c>
      <c r="H74" s="4">
        <v>0</v>
      </c>
      <c r="I74" s="4">
        <v>-210.27799999999999</v>
      </c>
    </row>
    <row r="75" spans="1:9" x14ac:dyDescent="0.2">
      <c r="A75" s="13" t="s">
        <v>74</v>
      </c>
      <c r="B75" s="4">
        <v>0.27700000000000002</v>
      </c>
      <c r="C75" s="4">
        <v>1.7789999999999999</v>
      </c>
      <c r="D75" s="4">
        <v>-1.7310000000000001</v>
      </c>
      <c r="E75" s="4">
        <v>2.2130000000000001</v>
      </c>
      <c r="F75" s="4">
        <v>-3.6469999999999998</v>
      </c>
      <c r="G75" s="4">
        <v>1.2</v>
      </c>
      <c r="H75" s="4">
        <v>-1</v>
      </c>
      <c r="I75" s="4">
        <v>2.2669999999999999</v>
      </c>
    </row>
    <row r="76" spans="1:9" x14ac:dyDescent="0.2">
      <c r="A76" s="13" t="s">
        <v>35</v>
      </c>
      <c r="B76" s="4">
        <v>0</v>
      </c>
      <c r="C76" s="4">
        <v>2.1999999999999999E-2</v>
      </c>
      <c r="D76" s="4">
        <v>4.4999999999999998E-2</v>
      </c>
      <c r="E76" s="4">
        <v>0</v>
      </c>
      <c r="F76" s="4">
        <v>-2.3E-2</v>
      </c>
      <c r="G76" s="4">
        <v>-3.4000000000000002E-2</v>
      </c>
      <c r="H76" s="4">
        <v>0</v>
      </c>
      <c r="I76" s="4">
        <v>-3.4000000000000002E-2</v>
      </c>
    </row>
    <row r="77" spans="1:9" x14ac:dyDescent="0.2">
      <c r="A77" s="13" t="s">
        <v>51</v>
      </c>
      <c r="B77" s="4">
        <v>-71.988</v>
      </c>
      <c r="C77" s="4">
        <v>45.991</v>
      </c>
      <c r="D77" s="4">
        <v>-20.797999999999998</v>
      </c>
      <c r="E77" s="4">
        <v>-11.143000000000001</v>
      </c>
      <c r="F77" s="4">
        <v>-60.402999999999999</v>
      </c>
      <c r="G77" s="4">
        <v>75.870999999999995</v>
      </c>
      <c r="H77" s="4">
        <v>27</v>
      </c>
      <c r="I77" s="4">
        <v>31.044</v>
      </c>
    </row>
    <row r="78" spans="1:9" x14ac:dyDescent="0.2">
      <c r="A78" s="13" t="s">
        <v>75</v>
      </c>
      <c r="B78" s="4">
        <v>-35.521000000000001</v>
      </c>
      <c r="C78" s="4">
        <v>-19.675999999999998</v>
      </c>
      <c r="D78" s="4">
        <v>-23.893000000000001</v>
      </c>
      <c r="E78" s="4">
        <v>-24.614999999999998</v>
      </c>
      <c r="F78" s="4">
        <v>-33.832999999999998</v>
      </c>
      <c r="G78" s="4">
        <v>-21.145</v>
      </c>
      <c r="H78" s="4">
        <v>-43</v>
      </c>
      <c r="I78" s="4">
        <v>-74.088999999999999</v>
      </c>
    </row>
    <row r="79" spans="1:9" x14ac:dyDescent="0.2">
      <c r="A79" s="13" t="s">
        <v>53</v>
      </c>
      <c r="B79" s="4">
        <v>-0.77700000000000002</v>
      </c>
      <c r="C79" s="4">
        <v>4.7290000000000001</v>
      </c>
      <c r="D79" s="4">
        <v>3.18</v>
      </c>
      <c r="E79" s="4">
        <v>-0.23799999999999999</v>
      </c>
      <c r="F79" s="4">
        <v>-6.3479999999999999</v>
      </c>
      <c r="G79" s="4">
        <v>4.8959999999999999</v>
      </c>
      <c r="H79" s="4">
        <v>2</v>
      </c>
      <c r="I79" s="4">
        <v>-5.5119999999999996</v>
      </c>
    </row>
    <row r="80" spans="1:9" x14ac:dyDescent="0.2">
      <c r="A80" s="13" t="s">
        <v>35</v>
      </c>
      <c r="B80" s="4">
        <v>1.6279999999999999</v>
      </c>
      <c r="C80" s="4">
        <v>2.1139999999999999</v>
      </c>
      <c r="D80" s="4">
        <v>2.6949999999999998</v>
      </c>
      <c r="E80" s="4">
        <v>2.2970000000000002</v>
      </c>
      <c r="F80" s="4">
        <v>1.419</v>
      </c>
      <c r="G80" s="4">
        <v>0.68</v>
      </c>
      <c r="H80" s="4">
        <v>2</v>
      </c>
      <c r="I80" s="4">
        <v>0.63900000000000001</v>
      </c>
    </row>
    <row r="81" spans="1:9" x14ac:dyDescent="0.2">
      <c r="A81" s="13" t="s">
        <v>60</v>
      </c>
      <c r="B81" s="4">
        <v>6.5839999999999996</v>
      </c>
      <c r="C81" s="4">
        <v>9.8729999999999993</v>
      </c>
      <c r="D81" s="4">
        <v>2.4470000000000001</v>
      </c>
      <c r="E81" s="4">
        <v>-11.808999999999999</v>
      </c>
      <c r="F81" s="4">
        <v>5.7930000000000001</v>
      </c>
      <c r="G81" s="4">
        <v>-19.233000000000001</v>
      </c>
      <c r="H81" s="4">
        <v>0</v>
      </c>
      <c r="I81" s="4">
        <v>-25.212</v>
      </c>
    </row>
    <row r="82" spans="1:9" x14ac:dyDescent="0.2">
      <c r="A82" s="13" t="s">
        <v>61</v>
      </c>
      <c r="B82" s="4">
        <v>9.6530000000000005</v>
      </c>
      <c r="C82" s="4">
        <v>-16.741</v>
      </c>
      <c r="D82" s="4">
        <v>15.096</v>
      </c>
      <c r="E82" s="4">
        <v>-4.6269999999999998</v>
      </c>
      <c r="F82" s="4">
        <v>10.582000000000001</v>
      </c>
      <c r="G82" s="4">
        <v>-0.41099999999999998</v>
      </c>
      <c r="H82" s="4">
        <v>-1</v>
      </c>
      <c r="I82" s="4">
        <v>1.4279999999999999</v>
      </c>
    </row>
    <row r="83" spans="1:9" x14ac:dyDescent="0.2">
      <c r="A83" s="13" t="s">
        <v>76</v>
      </c>
      <c r="B83" s="4">
        <v>13.089</v>
      </c>
      <c r="C83" s="4">
        <v>-11.521000000000001</v>
      </c>
      <c r="D83" s="4">
        <v>5.5739999999999998</v>
      </c>
      <c r="E83" s="4">
        <v>5.7859999999999996</v>
      </c>
      <c r="F83" s="4">
        <v>8.4849999999999994</v>
      </c>
      <c r="G83" s="4">
        <v>-3.8849999999999998</v>
      </c>
      <c r="H83" s="4">
        <v>-11</v>
      </c>
      <c r="I83" s="4">
        <v>1.5089999999999999</v>
      </c>
    </row>
    <row r="84" spans="1:9" x14ac:dyDescent="0.2">
      <c r="A84" s="13" t="s">
        <v>56</v>
      </c>
      <c r="B84" s="4">
        <v>-2.4500000000000002</v>
      </c>
      <c r="C84" s="4">
        <v>-3.2040000000000002</v>
      </c>
      <c r="D84" s="4">
        <v>-2.3690000000000002</v>
      </c>
      <c r="E84" s="4">
        <v>-2.831</v>
      </c>
      <c r="F84" s="4">
        <v>-3.0009999999999999</v>
      </c>
      <c r="G84" s="4">
        <v>-3.1</v>
      </c>
      <c r="H84" s="4">
        <v>-6</v>
      </c>
      <c r="I84" s="4">
        <v>-9.0960000000000001</v>
      </c>
    </row>
    <row r="85" spans="1:9" x14ac:dyDescent="0.2">
      <c r="A85" s="13" t="s">
        <v>52</v>
      </c>
      <c r="B85" s="4">
        <v>75.474000000000004</v>
      </c>
      <c r="C85" s="4">
        <v>-26.984999999999999</v>
      </c>
      <c r="D85" s="4">
        <v>4.8170000000000002</v>
      </c>
      <c r="E85" s="4">
        <v>40.036999999999999</v>
      </c>
      <c r="F85" s="4">
        <v>77.747</v>
      </c>
      <c r="G85" s="4">
        <v>-29.11</v>
      </c>
      <c r="H85" s="4">
        <v>-23</v>
      </c>
      <c r="I85" s="4">
        <v>23.189</v>
      </c>
    </row>
    <row r="86" spans="1:9" x14ac:dyDescent="0.2">
      <c r="A86" s="13" t="s">
        <v>77</v>
      </c>
      <c r="B86" s="4">
        <f t="shared" ref="B86:I86" si="77">SUM(B66:B85)</f>
        <v>-3.0499999999999972</v>
      </c>
      <c r="C86" s="4">
        <f t="shared" si="77"/>
        <v>-9.7050000000000054</v>
      </c>
      <c r="D86" s="4">
        <f t="shared" si="77"/>
        <v>10.642000000000001</v>
      </c>
      <c r="E86" s="4">
        <f t="shared" si="77"/>
        <v>7.1699999999999946</v>
      </c>
      <c r="F86" s="4">
        <f t="shared" si="77"/>
        <v>27.555000000000021</v>
      </c>
      <c r="G86" s="4">
        <f t="shared" si="77"/>
        <v>37.812000000000012</v>
      </c>
      <c r="H86" s="4">
        <f t="shared" si="77"/>
        <v>2</v>
      </c>
      <c r="I86" s="4">
        <f t="shared" si="77"/>
        <v>87.813999999999965</v>
      </c>
    </row>
    <row r="87" spans="1:9" x14ac:dyDescent="0.2">
      <c r="B87" s="4"/>
    </row>
    <row r="88" spans="1:9" x14ac:dyDescent="0.2">
      <c r="A88" s="13" t="s">
        <v>78</v>
      </c>
      <c r="B88" s="4">
        <v>-1.498</v>
      </c>
      <c r="C88" s="4">
        <v>-0.47899999999999998</v>
      </c>
      <c r="D88" s="4">
        <v>-0.34300000000000003</v>
      </c>
      <c r="E88" s="4">
        <v>-0.19700000000000001</v>
      </c>
      <c r="F88" s="4">
        <v>-1.665</v>
      </c>
      <c r="G88" s="4">
        <v>-0.63200000000000001</v>
      </c>
      <c r="H88" s="4">
        <v>-1</v>
      </c>
      <c r="I88" s="4">
        <v>-2.605</v>
      </c>
    </row>
    <row r="89" spans="1:9" x14ac:dyDescent="0.2">
      <c r="A89" s="13" t="s">
        <v>88</v>
      </c>
      <c r="B89" s="4">
        <v>0</v>
      </c>
      <c r="C89" s="4">
        <v>0</v>
      </c>
      <c r="D89" s="4">
        <v>0</v>
      </c>
      <c r="E89" s="4">
        <v>0</v>
      </c>
      <c r="F89" s="10">
        <v>-270.26799999999997</v>
      </c>
      <c r="G89" s="4">
        <v>-83.578999999999994</v>
      </c>
      <c r="H89" s="4">
        <v>-95</v>
      </c>
      <c r="I89" s="10">
        <v>-358.27300000000002</v>
      </c>
    </row>
    <row r="90" spans="1:9" x14ac:dyDescent="0.2">
      <c r="A90" s="13" t="s">
        <v>87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29.116</v>
      </c>
      <c r="H90" s="4">
        <v>46</v>
      </c>
      <c r="I90" s="4">
        <v>150.22300000000001</v>
      </c>
    </row>
    <row r="91" spans="1:9" x14ac:dyDescent="0.2">
      <c r="A91" s="13" t="s">
        <v>79</v>
      </c>
      <c r="B91" s="4">
        <v>-0.70499999999999996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</row>
    <row r="92" spans="1:9" x14ac:dyDescent="0.2">
      <c r="A92" s="13" t="s">
        <v>80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-18.951000000000001</v>
      </c>
    </row>
    <row r="93" spans="1:9" x14ac:dyDescent="0.2">
      <c r="A93" s="13" t="s">
        <v>81</v>
      </c>
      <c r="B93" s="4">
        <f t="shared" ref="B93:I93" si="78">SUM(B88:B92)</f>
        <v>-2.2029999999999998</v>
      </c>
      <c r="C93" s="4">
        <f t="shared" si="78"/>
        <v>-0.47899999999999998</v>
      </c>
      <c r="D93" s="4">
        <f t="shared" si="78"/>
        <v>-0.34300000000000003</v>
      </c>
      <c r="E93" s="4">
        <f t="shared" si="78"/>
        <v>-0.19700000000000001</v>
      </c>
      <c r="F93" s="4">
        <f t="shared" si="78"/>
        <v>-271.93299999999999</v>
      </c>
      <c r="G93" s="4">
        <f t="shared" si="78"/>
        <v>-55.094999999999999</v>
      </c>
      <c r="H93" s="4">
        <f t="shared" si="78"/>
        <v>-50</v>
      </c>
      <c r="I93" s="4">
        <f t="shared" si="78"/>
        <v>-229.60600000000002</v>
      </c>
    </row>
    <row r="94" spans="1:9" x14ac:dyDescent="0.2">
      <c r="B94" s="4"/>
    </row>
    <row r="95" spans="1:9" x14ac:dyDescent="0.2">
      <c r="A95" s="13" t="s">
        <v>89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9</v>
      </c>
      <c r="I95" s="4">
        <v>9.1110000000000007</v>
      </c>
    </row>
    <row r="96" spans="1:9" x14ac:dyDescent="0.2">
      <c r="A96" s="13" t="s">
        <v>82</v>
      </c>
      <c r="B96" s="4">
        <v>8.8699999999999992</v>
      </c>
      <c r="C96" s="4">
        <v>3.3969999999999998</v>
      </c>
      <c r="D96" s="4">
        <v>4.327</v>
      </c>
      <c r="E96" s="4">
        <v>4.51</v>
      </c>
      <c r="F96" s="4">
        <v>5.2370000000000001</v>
      </c>
      <c r="G96" s="4">
        <v>3.843</v>
      </c>
      <c r="H96" s="4">
        <v>7</v>
      </c>
      <c r="I96" s="4">
        <v>19.489999999999998</v>
      </c>
    </row>
    <row r="97" spans="1:9" x14ac:dyDescent="0.2">
      <c r="A97" s="13" t="s">
        <v>83</v>
      </c>
      <c r="B97" s="4">
        <f t="shared" ref="B97:I97" si="79">SUM(B95:B96)</f>
        <v>8.8699999999999992</v>
      </c>
      <c r="C97" s="4">
        <f t="shared" si="79"/>
        <v>3.3969999999999998</v>
      </c>
      <c r="D97" s="4">
        <f t="shared" si="79"/>
        <v>4.327</v>
      </c>
      <c r="E97" s="4">
        <f t="shared" si="79"/>
        <v>4.51</v>
      </c>
      <c r="F97" s="4">
        <f t="shared" si="79"/>
        <v>5.2370000000000001</v>
      </c>
      <c r="G97" s="4">
        <f t="shared" si="79"/>
        <v>3.843</v>
      </c>
      <c r="H97" s="4">
        <f t="shared" si="79"/>
        <v>16</v>
      </c>
      <c r="I97" s="4">
        <f t="shared" si="79"/>
        <v>28.600999999999999</v>
      </c>
    </row>
    <row r="98" spans="1:9" x14ac:dyDescent="0.2">
      <c r="B98" s="4"/>
    </row>
    <row r="99" spans="1:9" x14ac:dyDescent="0.2">
      <c r="A99" s="13" t="s">
        <v>85</v>
      </c>
      <c r="B99" s="4">
        <v>-8.2710000000000008</v>
      </c>
      <c r="C99" s="4">
        <v>-5.702</v>
      </c>
      <c r="D99" s="4">
        <v>-7.1520000000000001</v>
      </c>
      <c r="E99" s="4">
        <v>9.94</v>
      </c>
      <c r="F99" s="4">
        <v>5.7359999999999998</v>
      </c>
      <c r="G99" s="4">
        <v>4.2000000000000003E-2</v>
      </c>
      <c r="H99" s="4">
        <v>-5</v>
      </c>
      <c r="I99" s="4">
        <v>-3.782</v>
      </c>
    </row>
    <row r="100" spans="1:9" x14ac:dyDescent="0.2">
      <c r="A100" s="13" t="s">
        <v>84</v>
      </c>
      <c r="B100" s="4">
        <f t="shared" ref="B100:I100" si="80">+B86+B93+B97+B99</f>
        <v>-4.6539999999999981</v>
      </c>
      <c r="C100" s="4">
        <f t="shared" si="80"/>
        <v>-12.489000000000004</v>
      </c>
      <c r="D100" s="4">
        <f t="shared" si="80"/>
        <v>7.4740000000000011</v>
      </c>
      <c r="E100" s="4">
        <f t="shared" si="80"/>
        <v>21.422999999999995</v>
      </c>
      <c r="F100" s="4">
        <f t="shared" si="80"/>
        <v>-233.405</v>
      </c>
      <c r="G100" s="4">
        <f t="shared" si="80"/>
        <v>-13.397999999999987</v>
      </c>
      <c r="H100" s="4">
        <f t="shared" si="80"/>
        <v>-37</v>
      </c>
      <c r="I100" s="4">
        <f t="shared" si="80"/>
        <v>-116.97300000000006</v>
      </c>
    </row>
    <row r="101" spans="1:9" x14ac:dyDescent="0.2">
      <c r="B101" s="4"/>
    </row>
    <row r="102" spans="1:9" x14ac:dyDescent="0.2">
      <c r="A102" s="13" t="s">
        <v>86</v>
      </c>
      <c r="B102" s="4">
        <f t="shared" ref="B102:I102" si="81">+B86+B88-B73</f>
        <v>-48.188999999999993</v>
      </c>
      <c r="C102" s="4">
        <f t="shared" si="81"/>
        <v>-57.067000000000007</v>
      </c>
      <c r="D102" s="4">
        <f t="shared" si="81"/>
        <v>-36.988</v>
      </c>
      <c r="E102" s="4">
        <f t="shared" si="81"/>
        <v>-47.483000000000011</v>
      </c>
      <c r="F102" s="4">
        <f t="shared" si="81"/>
        <v>-29.522999999999975</v>
      </c>
      <c r="G102" s="4">
        <f t="shared" si="81"/>
        <v>-19.946999999999989</v>
      </c>
      <c r="H102" s="4">
        <f t="shared" si="81"/>
        <v>-55</v>
      </c>
      <c r="I102" s="4">
        <f t="shared" si="81"/>
        <v>-91.135000000000034</v>
      </c>
    </row>
  </sheetData>
  <pageMargins left="0.7" right="0.7" top="0.75" bottom="0.75" header="0.3" footer="0.3"/>
  <ignoredErrors>
    <ignoredError sqref="C58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2024-03-20T10:07:00Z</dcterms:created>
  <dcterms:modified xsi:type="dcterms:W3CDTF">2024-03-22T14:24:01Z</dcterms:modified>
</cp:coreProperties>
</file>