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0B6B4415-4CAE-455D-9D3E-08C134734031}" xr6:coauthVersionLast="47" xr6:coauthVersionMax="47" xr10:uidLastSave="{00000000-0000-0000-0000-000000000000}"/>
  <bookViews>
    <workbookView xWindow="0" yWindow="0" windowWidth="14400" windowHeight="15600" xr2:uid="{D52668DD-7A22-427B-830B-158F41EC97B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2" l="1"/>
  <c r="J38" i="2"/>
  <c r="N39" i="2"/>
  <c r="N38" i="2"/>
  <c r="J34" i="2"/>
  <c r="J33" i="2"/>
  <c r="J32" i="2"/>
  <c r="J18" i="2"/>
  <c r="J13" i="2"/>
  <c r="J27" i="2" s="1"/>
  <c r="N33" i="2"/>
  <c r="N32" i="2"/>
  <c r="N27" i="2"/>
  <c r="N18" i="2"/>
  <c r="N13" i="2"/>
  <c r="N11" i="2"/>
  <c r="J11" i="2"/>
  <c r="J7" i="2"/>
  <c r="J4" i="2"/>
  <c r="N4" i="2"/>
  <c r="N7" i="2"/>
  <c r="K38" i="2"/>
  <c r="K37" i="2"/>
  <c r="K39" i="2" s="1"/>
  <c r="O38" i="2"/>
  <c r="O37" i="2"/>
  <c r="P37" i="2" s="1"/>
  <c r="K33" i="2"/>
  <c r="K32" i="2"/>
  <c r="K18" i="2"/>
  <c r="K34" i="2" s="1"/>
  <c r="K13" i="2"/>
  <c r="O32" i="2"/>
  <c r="O18" i="2"/>
  <c r="O4" i="2"/>
  <c r="O7" i="2"/>
  <c r="K11" i="2"/>
  <c r="K4" i="2"/>
  <c r="K7" i="2"/>
  <c r="O11" i="2"/>
  <c r="O33" i="2" s="1"/>
  <c r="L38" i="2"/>
  <c r="P38" i="2"/>
  <c r="L4" i="2"/>
  <c r="M4" i="2"/>
  <c r="L7" i="2"/>
  <c r="P7" i="2"/>
  <c r="P4" i="2"/>
  <c r="L32" i="2"/>
  <c r="L18" i="2"/>
  <c r="L34" i="2" s="1"/>
  <c r="L13" i="2"/>
  <c r="L27" i="2" s="1"/>
  <c r="I34" i="2"/>
  <c r="P32" i="2"/>
  <c r="P18" i="2"/>
  <c r="L11" i="2"/>
  <c r="L33" i="2" s="1"/>
  <c r="P11" i="2"/>
  <c r="P33" i="2" s="1"/>
  <c r="M18" i="2"/>
  <c r="M34" i="2" s="1"/>
  <c r="Q18" i="2"/>
  <c r="AC39" i="2"/>
  <c r="AB39" i="2"/>
  <c r="AB38" i="2"/>
  <c r="AC38" i="2"/>
  <c r="AD32" i="2"/>
  <c r="AC32" i="2"/>
  <c r="AB18" i="2"/>
  <c r="E18" i="2"/>
  <c r="I18" i="2"/>
  <c r="I13" i="2"/>
  <c r="I27" i="2" s="1"/>
  <c r="I32" i="2"/>
  <c r="M32" i="2"/>
  <c r="E7" i="2"/>
  <c r="I7" i="2"/>
  <c r="E4" i="2"/>
  <c r="I4" i="2"/>
  <c r="E11" i="2"/>
  <c r="E13" i="2" s="1"/>
  <c r="I11" i="2"/>
  <c r="I33" i="2" s="1"/>
  <c r="AB7" i="2"/>
  <c r="AC7" i="2"/>
  <c r="AC4" i="2"/>
  <c r="AD4" i="2"/>
  <c r="AD11" i="2"/>
  <c r="AC11" i="2"/>
  <c r="AB11" i="2"/>
  <c r="AB33" i="2" s="1"/>
  <c r="AE11" i="2"/>
  <c r="M38" i="2"/>
  <c r="M39" i="2" s="1"/>
  <c r="Q38" i="2"/>
  <c r="Q39" i="2" s="1"/>
  <c r="AD38" i="2"/>
  <c r="AD39" i="2" s="1"/>
  <c r="AE38" i="2"/>
  <c r="AE39" i="2" s="1"/>
  <c r="AD7" i="2"/>
  <c r="AE7" i="2"/>
  <c r="M7" i="2"/>
  <c r="Q7" i="2"/>
  <c r="Q4" i="2"/>
  <c r="AE4" i="2"/>
  <c r="M11" i="2"/>
  <c r="M13" i="2" s="1"/>
  <c r="M27" i="2" s="1"/>
  <c r="Q11" i="2"/>
  <c r="Q13" i="2" s="1"/>
  <c r="Q27" i="2" s="1"/>
  <c r="L37" i="2" l="1"/>
  <c r="J19" i="2"/>
  <c r="N34" i="2"/>
  <c r="N19" i="2"/>
  <c r="Q33" i="2"/>
  <c r="O39" i="2"/>
  <c r="Q34" i="2"/>
  <c r="O13" i="2"/>
  <c r="O27" i="2" s="1"/>
  <c r="P13" i="2"/>
  <c r="P27" i="2" s="1"/>
  <c r="M33" i="2"/>
  <c r="L39" i="2"/>
  <c r="P39" i="2"/>
  <c r="K19" i="2"/>
  <c r="K21" i="2"/>
  <c r="K28" i="2"/>
  <c r="K27" i="2"/>
  <c r="O34" i="2"/>
  <c r="L19" i="2"/>
  <c r="P34" i="2"/>
  <c r="P19" i="2"/>
  <c r="M19" i="2"/>
  <c r="M28" i="2" s="1"/>
  <c r="Q19" i="2"/>
  <c r="I19" i="2"/>
  <c r="I21" i="2" s="1"/>
  <c r="AB13" i="2"/>
  <c r="AB27" i="2" s="1"/>
  <c r="AB19" i="2"/>
  <c r="E19" i="2"/>
  <c r="E28" i="2" s="1"/>
  <c r="E27" i="2"/>
  <c r="AE32" i="2"/>
  <c r="Q32" i="2"/>
  <c r="AF33" i="2"/>
  <c r="AC33" i="2"/>
  <c r="AC18" i="2"/>
  <c r="AC34" i="2" s="1"/>
  <c r="AC13" i="2"/>
  <c r="AC27" i="2" s="1"/>
  <c r="AD33" i="2"/>
  <c r="AD18" i="2"/>
  <c r="AD34" i="2" s="1"/>
  <c r="AD13" i="2"/>
  <c r="AE33" i="2"/>
  <c r="AE18" i="2"/>
  <c r="AE13" i="2"/>
  <c r="AE27" i="2" s="1"/>
  <c r="L6" i="1"/>
  <c r="L4" i="1"/>
  <c r="L5" i="1" s="1"/>
  <c r="L8" i="1" s="1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J28" i="2" l="1"/>
  <c r="J21" i="2"/>
  <c r="N21" i="2"/>
  <c r="N28" i="2"/>
  <c r="O19" i="2"/>
  <c r="I28" i="2"/>
  <c r="AE34" i="2"/>
  <c r="K23" i="2"/>
  <c r="K30" i="2"/>
  <c r="O28" i="2"/>
  <c r="O21" i="2"/>
  <c r="L21" i="2"/>
  <c r="L28" i="2"/>
  <c r="P21" i="2"/>
  <c r="P28" i="2"/>
  <c r="M21" i="2"/>
  <c r="M30" i="2" s="1"/>
  <c r="Q28" i="2"/>
  <c r="Q21" i="2"/>
  <c r="AB28" i="2"/>
  <c r="AB21" i="2"/>
  <c r="E21" i="2"/>
  <c r="E30" i="2" s="1"/>
  <c r="I23" i="2"/>
  <c r="I30" i="2"/>
  <c r="AE19" i="2"/>
  <c r="AE21" i="2" s="1"/>
  <c r="AC19" i="2"/>
  <c r="AD19" i="2"/>
  <c r="AD21" i="2" s="1"/>
  <c r="AD27" i="2"/>
  <c r="J30" i="2" l="1"/>
  <c r="J23" i="2"/>
  <c r="N23" i="2"/>
  <c r="N30" i="2"/>
  <c r="K29" i="2"/>
  <c r="K24" i="2"/>
  <c r="O30" i="2"/>
  <c r="O23" i="2"/>
  <c r="L23" i="2"/>
  <c r="L30" i="2"/>
  <c r="P23" i="2"/>
  <c r="P30" i="2"/>
  <c r="M23" i="2"/>
  <c r="M29" i="2" s="1"/>
  <c r="Q30" i="2"/>
  <c r="Q23" i="2"/>
  <c r="AB23" i="2"/>
  <c r="AB30" i="2"/>
  <c r="E23" i="2"/>
  <c r="E29" i="2" s="1"/>
  <c r="I29" i="2"/>
  <c r="I24" i="2"/>
  <c r="AD28" i="2"/>
  <c r="AE28" i="2"/>
  <c r="AE23" i="2"/>
  <c r="AE30" i="2"/>
  <c r="AC28" i="2"/>
  <c r="AC21" i="2"/>
  <c r="AD30" i="2"/>
  <c r="AD23" i="2"/>
  <c r="J29" i="2" l="1"/>
  <c r="J24" i="2"/>
  <c r="N24" i="2"/>
  <c r="N29" i="2"/>
  <c r="O29" i="2"/>
  <c r="O24" i="2"/>
  <c r="L24" i="2"/>
  <c r="L29" i="2"/>
  <c r="P29" i="2"/>
  <c r="P24" i="2"/>
  <c r="M24" i="2"/>
  <c r="Q29" i="2"/>
  <c r="Q24" i="2"/>
  <c r="AB29" i="2"/>
  <c r="AB24" i="2"/>
  <c r="E24" i="2"/>
  <c r="AE29" i="2"/>
  <c r="AE24" i="2"/>
  <c r="AC30" i="2"/>
  <c r="AC23" i="2"/>
  <c r="AD29" i="2"/>
  <c r="AD24" i="2"/>
  <c r="AC24" i="2" l="1"/>
  <c r="AC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R11" authorId="0" shapeId="0" xr:uid="{3ED866BD-79F0-4E47-87C1-7251731544E0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$520m - $540m</t>
        </r>
      </text>
    </comment>
    <comment ref="AF11" authorId="0" shapeId="0" xr:uid="{3A8F5ED9-0DE0-4CF0-8C30-540C00CCA6FB}">
      <text>
        <r>
          <rPr>
            <b/>
            <sz val="9"/>
            <color indexed="81"/>
            <rFont val="Tahoma"/>
            <charset val="1"/>
          </rPr>
          <t>Fidel:</t>
        </r>
        <r>
          <rPr>
            <sz val="9"/>
            <color indexed="81"/>
            <rFont val="Tahoma"/>
            <charset val="1"/>
          </rPr>
          <t xml:space="preserve">
Guidance:
$2,3 billion - $2,4 billion</t>
        </r>
      </text>
    </comment>
  </commentList>
</comments>
</file>

<file path=xl/sharedStrings.xml><?xml version="1.0" encoding="utf-8"?>
<sst xmlns="http://schemas.openxmlformats.org/spreadsheetml/2006/main" count="58" uniqueCount="57">
  <si>
    <t>Revenue</t>
  </si>
  <si>
    <t>COGS</t>
  </si>
  <si>
    <t>Gross profit</t>
  </si>
  <si>
    <t>R&amp;D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</si>
  <si>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</si>
  <si>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</si>
  <si>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</si>
  <si>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</si>
  <si>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</si>
  <si>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</si>
  <si>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</si>
  <si>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</si>
  <si>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</si>
  <si>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</si>
  <si>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</si>
  <si>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</si>
  <si>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</si>
  <si>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</si>
  <si>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</si>
  <si>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</si>
  <si>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</si>
  <si>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</si>
  <si>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</si>
  <si>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</si>
  <si>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</si>
  <si>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</si>
  <si>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</si>
  <si>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</si>
  <si>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</si>
  <si>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</si>
  <si>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</si>
  <si>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</si>
  <si>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</si>
  <si>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</si>
  <si>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</si>
  <si>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</si>
  <si>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</si>
  <si>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</si>
  <si>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Marketing</t>
  </si>
  <si>
    <t>Operations and support</t>
  </si>
  <si>
    <t>G&amp;A</t>
  </si>
  <si>
    <t>Subscribers</t>
  </si>
  <si>
    <t>CFO</t>
  </si>
  <si>
    <t>Yemi Okupe</t>
  </si>
  <si>
    <t>Subscribers y/y</t>
  </si>
  <si>
    <t>Monthly ARPU</t>
  </si>
  <si>
    <t>Online revenue</t>
  </si>
  <si>
    <t>Wholesale revenue</t>
  </si>
  <si>
    <t>Net orders</t>
  </si>
  <si>
    <t>AOV</t>
  </si>
  <si>
    <t>CFFO</t>
  </si>
  <si>
    <t>CapEx</t>
  </si>
  <si>
    <t>FCF</t>
  </si>
  <si>
    <t>Q125</t>
  </si>
  <si>
    <t>Q225</t>
  </si>
  <si>
    <t>Expense y/y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</si>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</sst>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d/mm/yy;@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9" fontId="0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0</xdr:row>
      <xdr:rowOff>38100</xdr:rowOff>
    </xdr:from>
    <xdr:to>
      <xdr:col>17</xdr:col>
      <xdr:colOff>38100</xdr:colOff>
      <xdr:row>48</xdr:row>
      <xdr:rowOff>47625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E09C54B-16CE-D837-DA43-0269DF7506C2}"/>
            </a:ext>
          </a:extLst>
        </xdr:cNvPr>
        <xdr:cNvCxnSpPr/>
      </xdr:nvCxnSpPr>
      <xdr:spPr>
        <a:xfrm>
          <a:off x="10906125" y="38100"/>
          <a:ext cx="0" cy="745807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38100</xdr:colOff>
      <xdr:row>0</xdr:row>
      <xdr:rowOff>0</xdr:rowOff>
    </xdr:from>
    <xdr:to>
      <xdr:col>31</xdr:col>
      <xdr:colOff>38100</xdr:colOff>
      <xdr:row>48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0A34B44-9AA4-43AF-99A9-08D72E3337B3}"/>
            </a:ext>
          </a:extLst>
        </xdr:cNvPr>
        <xdr:cNvCxnSpPr/>
      </xdr:nvCxnSpPr>
      <xdr:spPr>
        <a:xfrm>
          <a:off x="18221325" y="0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A6BB-FA28-4A36-AB25-A7E2B963EEBF}">
  <dimension ref="K3:L12"/>
  <sheetViews>
    <sheetView tabSelected="1" workbookViewId="0">
      <selection activeCell="G21" sqref="G21"/>
    </sheetView>
  </sheetViews>
  <sheetFormatPr defaultRowHeight="12.75" x14ac:dyDescent="0.2"/>
  <sheetData>
    <row r="3" spans="11:12" x14ac:dyDescent="0.2">
      <c r="K3" t="s">
        <v>33</v>
      </c>
      <c r="L3">
        <v>26</v>
      </c>
    </row>
    <row r="4" spans="11:12" x14ac:dyDescent="0.2">
      <c r="K4" t="s">
        <v>11</v>
      </c>
      <c r="L4" s="1">
        <f>213.787949+8.377623</f>
        <v>222.165572</v>
      </c>
    </row>
    <row r="5" spans="11:12" x14ac:dyDescent="0.2">
      <c r="K5" t="s">
        <v>34</v>
      </c>
      <c r="L5" s="1">
        <f>+L3*L4</f>
        <v>5776.3048719999997</v>
      </c>
    </row>
    <row r="6" spans="11:12" x14ac:dyDescent="0.2">
      <c r="K6" t="s">
        <v>35</v>
      </c>
      <c r="L6" s="1">
        <f>220.584+79.667</f>
        <v>300.25099999999998</v>
      </c>
    </row>
    <row r="7" spans="11:12" x14ac:dyDescent="0.2">
      <c r="K7" t="s">
        <v>36</v>
      </c>
      <c r="L7" s="1">
        <v>0</v>
      </c>
    </row>
    <row r="8" spans="11:12" x14ac:dyDescent="0.2">
      <c r="K8" t="s">
        <v>37</v>
      </c>
      <c r="L8" s="1">
        <f>+L5-L6</f>
        <v>5476.0538719999995</v>
      </c>
    </row>
    <row r="10" spans="11:12" x14ac:dyDescent="0.2">
      <c r="K10" t="s">
        <v>56</v>
      </c>
      <c r="L10">
        <v>2017</v>
      </c>
    </row>
    <row r="12" spans="11:12" x14ac:dyDescent="0.2">
      <c r="K12" t="s">
        <v>42</v>
      </c>
      <c r="L1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157D-0745-45C1-9024-71CA4075EF05}">
  <dimension ref="A1:AO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37" sqref="I37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41" s="12" customFormat="1" x14ac:dyDescent="0.2">
      <c r="J1" s="12">
        <v>45016</v>
      </c>
      <c r="K1" s="12">
        <v>45107</v>
      </c>
      <c r="L1" s="12">
        <v>45199</v>
      </c>
      <c r="M1" s="12">
        <v>45291</v>
      </c>
      <c r="N1" s="12">
        <v>45382</v>
      </c>
      <c r="O1" s="12">
        <v>45473</v>
      </c>
      <c r="P1" s="12">
        <v>45565</v>
      </c>
      <c r="Q1" s="12">
        <v>45657</v>
      </c>
    </row>
    <row r="2" spans="1:41" x14ac:dyDescent="0.2">
      <c r="A2" s="3"/>
      <c r="B2" s="3" t="s">
        <v>17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18</v>
      </c>
      <c r="H2" s="3" t="s">
        <v>19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30</v>
      </c>
      <c r="P2" s="3" t="s">
        <v>31</v>
      </c>
      <c r="Q2" s="3" t="s">
        <v>32</v>
      </c>
      <c r="R2" s="3" t="s">
        <v>53</v>
      </c>
      <c r="S2" s="3" t="s">
        <v>54</v>
      </c>
      <c r="U2" s="2">
        <v>2014</v>
      </c>
      <c r="V2" s="2">
        <f>+U2+1</f>
        <v>2015</v>
      </c>
      <c r="W2" s="2">
        <f t="shared" ref="W2:AP2" si="0">+V2+1</f>
        <v>2016</v>
      </c>
      <c r="X2" s="2">
        <f t="shared" si="0"/>
        <v>2017</v>
      </c>
      <c r="Y2" s="2">
        <f t="shared" si="0"/>
        <v>2018</v>
      </c>
      <c r="Z2" s="2">
        <f t="shared" si="0"/>
        <v>2019</v>
      </c>
      <c r="AA2" s="2">
        <f t="shared" si="0"/>
        <v>2020</v>
      </c>
      <c r="AB2" s="2">
        <f t="shared" si="0"/>
        <v>2021</v>
      </c>
      <c r="AC2" s="2">
        <f t="shared" si="0"/>
        <v>2022</v>
      </c>
      <c r="AD2" s="2">
        <f t="shared" si="0"/>
        <v>2023</v>
      </c>
      <c r="AE2" s="2">
        <f t="shared" si="0"/>
        <v>2024</v>
      </c>
      <c r="AF2" s="2">
        <f t="shared" si="0"/>
        <v>2025</v>
      </c>
      <c r="AG2" s="2">
        <f t="shared" si="0"/>
        <v>2026</v>
      </c>
      <c r="AH2" s="2">
        <f t="shared" si="0"/>
        <v>2027</v>
      </c>
      <c r="AI2" s="2">
        <f t="shared" si="0"/>
        <v>2028</v>
      </c>
      <c r="AJ2" s="2">
        <f t="shared" si="0"/>
        <v>2029</v>
      </c>
      <c r="AK2" s="2">
        <f t="shared" si="0"/>
        <v>2030</v>
      </c>
      <c r="AL2" s="2">
        <f t="shared" si="0"/>
        <v>2031</v>
      </c>
      <c r="AM2" s="2">
        <f t="shared" si="0"/>
        <v>2032</v>
      </c>
      <c r="AN2" s="2">
        <f t="shared" si="0"/>
        <v>2033</v>
      </c>
      <c r="AO2" s="2">
        <f t="shared" si="0"/>
        <v>2034</v>
      </c>
    </row>
    <row r="3" spans="1:41" s="5" customFormat="1" x14ac:dyDescent="0.2">
      <c r="A3" s="9" t="s">
        <v>41</v>
      </c>
      <c r="B3" s="10"/>
      <c r="C3" s="10"/>
      <c r="D3" s="10"/>
      <c r="E3" s="10">
        <v>0.55400000000000005</v>
      </c>
      <c r="F3" s="10"/>
      <c r="G3" s="10"/>
      <c r="H3" s="10"/>
      <c r="I3" s="10">
        <v>1.04</v>
      </c>
      <c r="J3" s="10">
        <v>1.2090000000000001</v>
      </c>
      <c r="K3" s="10">
        <v>1.3</v>
      </c>
      <c r="L3" s="10">
        <v>1.4259999999999999</v>
      </c>
      <c r="M3" s="10">
        <v>1.5369999999999999</v>
      </c>
      <c r="N3" s="10">
        <v>1.7090000000000001</v>
      </c>
      <c r="O3" s="10">
        <v>1.8640000000000001</v>
      </c>
      <c r="P3" s="10">
        <v>2.0470000000000002</v>
      </c>
      <c r="Q3" s="10">
        <v>2.2290000000000001</v>
      </c>
      <c r="R3" s="10"/>
      <c r="S3" s="10"/>
      <c r="AB3" s="5">
        <v>0.55400000000000005</v>
      </c>
      <c r="AC3" s="5">
        <v>1.04</v>
      </c>
      <c r="AD3" s="5">
        <v>1.5369999999999999</v>
      </c>
      <c r="AE3" s="5">
        <v>2.2000000000000002</v>
      </c>
    </row>
    <row r="4" spans="1:41" s="5" customFormat="1" x14ac:dyDescent="0.2">
      <c r="A4" s="5" t="s">
        <v>45</v>
      </c>
      <c r="E4" s="5">
        <f>+(E9/AVERAGE(D3:E3))/3</f>
        <v>47.119133574007215</v>
      </c>
      <c r="I4" s="5">
        <f>+(I9/AVERAGE(H3:I3))/3</f>
        <v>51.654487179487177</v>
      </c>
      <c r="J4" s="5">
        <f>+(J9/AVERAGE(I3:J3))/3</f>
        <v>54.594634652438117</v>
      </c>
      <c r="K4" s="5">
        <f>+(K9/AVERAGE(J3:K3))/3</f>
        <v>53.455028563836841</v>
      </c>
      <c r="L4" s="5">
        <f>+(L9/AVERAGE(K3:L3))/3</f>
        <v>53.720958669601366</v>
      </c>
      <c r="M4" s="5">
        <f>+(M9/AVERAGE(L3:M3))/3</f>
        <v>53.406007424907187</v>
      </c>
      <c r="N4" s="5">
        <f>+(N9/AVERAGE(M3:N3))/3</f>
        <v>54.993017046621482</v>
      </c>
      <c r="O4" s="5">
        <f>+(O9/AVERAGE(N3:O3))/3</f>
        <v>57.252169045619922</v>
      </c>
      <c r="P4" s="5">
        <f>+(P9/AVERAGE(O3:P3))/3</f>
        <v>66.917753345265481</v>
      </c>
      <c r="Q4" s="5">
        <f>+(Q9/AVERAGE(P3:Q3))/3</f>
        <v>73.395696913002809</v>
      </c>
      <c r="AC4" s="5">
        <f>+(AC9/AVERAGE(AB3:AC3))/12</f>
        <v>52.54150982852363</v>
      </c>
      <c r="AD4" s="5">
        <f>+(AD9/AVERAGE(AC3:AD3))/12</f>
        <v>54.480726943474316</v>
      </c>
      <c r="AE4" s="5">
        <f>+(AE9/AVERAGE(AD3:AE3))/12</f>
        <v>64.13063063063062</v>
      </c>
    </row>
    <row r="5" spans="1:41" s="5" customFormat="1" x14ac:dyDescent="0.2"/>
    <row r="6" spans="1:41" s="5" customFormat="1" x14ac:dyDescent="0.2">
      <c r="A6" s="5" t="s">
        <v>48</v>
      </c>
      <c r="E6" s="5">
        <v>1.0629999999999999</v>
      </c>
      <c r="I6" s="5">
        <v>1.855</v>
      </c>
      <c r="J6" s="5">
        <v>2.0470000000000002</v>
      </c>
      <c r="K6" s="5">
        <v>2.109</v>
      </c>
      <c r="L6" s="5">
        <v>2.222</v>
      </c>
      <c r="M6" s="5">
        <v>2.298</v>
      </c>
      <c r="N6" s="5">
        <v>2.4609999999999999</v>
      </c>
      <c r="O6" s="5">
        <v>2.5270000000000001</v>
      </c>
      <c r="P6" s="5">
        <v>2.6640000000000001</v>
      </c>
      <c r="Q6" s="5">
        <v>2.8069999999999999</v>
      </c>
      <c r="AB6" s="5">
        <v>3.504</v>
      </c>
      <c r="AC6" s="5">
        <v>6.1219999999999999</v>
      </c>
      <c r="AD6" s="5">
        <v>8.6760000000000002</v>
      </c>
      <c r="AE6" s="5">
        <v>10.459</v>
      </c>
    </row>
    <row r="7" spans="1:41" x14ac:dyDescent="0.2">
      <c r="A7" s="1" t="s">
        <v>49</v>
      </c>
      <c r="E7" s="1">
        <f>+E9/E6</f>
        <v>73.670743179680159</v>
      </c>
      <c r="I7" s="1">
        <f>+I9/I6</f>
        <v>86.879784366576828</v>
      </c>
      <c r="J7" s="1">
        <f>+J9/J6</f>
        <v>89.97313141182218</v>
      </c>
      <c r="K7" s="1">
        <f>+K9/K6</f>
        <v>95.390232337600764</v>
      </c>
      <c r="L7" s="1">
        <f>+L9/L6</f>
        <v>98.859135913591359</v>
      </c>
      <c r="M7" s="1">
        <f>+M9/M6</f>
        <v>103.2911227154047</v>
      </c>
      <c r="N7" s="1">
        <f>+N9/N6</f>
        <v>108.80170662332387</v>
      </c>
      <c r="O7" s="1">
        <f>+O9/O6</f>
        <v>121.42580134546894</v>
      </c>
      <c r="P7" s="1">
        <f>+P9/P6</f>
        <v>147.36223723723722</v>
      </c>
      <c r="Q7" s="1">
        <f>+Q9/Q6</f>
        <v>167.70929818311365</v>
      </c>
      <c r="AB7" s="1">
        <f>+AB9/AB6</f>
        <v>73.964041095890408</v>
      </c>
      <c r="AC7" s="1">
        <f>+AC9/AC6</f>
        <v>82.082162691930748</v>
      </c>
      <c r="AD7" s="1">
        <f>+AD9/AD6</f>
        <v>97.093245735361918</v>
      </c>
      <c r="AE7" s="1">
        <f>+AE9/AE6</f>
        <v>137.48322019313508</v>
      </c>
    </row>
    <row r="8" spans="1:41" s="5" customFormat="1" x14ac:dyDescent="0.2"/>
    <row r="9" spans="1:41" x14ac:dyDescent="0.2">
      <c r="A9" s="1" t="s">
        <v>46</v>
      </c>
      <c r="E9" s="1">
        <v>78.311999999999998</v>
      </c>
      <c r="I9" s="1">
        <v>161.16200000000001</v>
      </c>
      <c r="J9" s="1">
        <v>184.17500000000001</v>
      </c>
      <c r="K9" s="1">
        <v>201.178</v>
      </c>
      <c r="L9" s="1">
        <v>219.66499999999999</v>
      </c>
      <c r="M9" s="1">
        <v>237.363</v>
      </c>
      <c r="N9" s="1">
        <v>267.76100000000002</v>
      </c>
      <c r="O9" s="1">
        <v>306.84300000000002</v>
      </c>
      <c r="P9" s="1">
        <v>392.57299999999998</v>
      </c>
      <c r="Q9" s="1">
        <v>470.76</v>
      </c>
      <c r="AB9" s="1">
        <v>259.17</v>
      </c>
      <c r="AC9" s="1">
        <v>502.50700000000001</v>
      </c>
      <c r="AD9" s="1">
        <v>842.38099999999997</v>
      </c>
      <c r="AE9" s="1">
        <v>1437.9369999999999</v>
      </c>
    </row>
    <row r="10" spans="1:41" x14ac:dyDescent="0.2">
      <c r="A10" s="1" t="s">
        <v>47</v>
      </c>
      <c r="E10" s="1">
        <v>6.3869999999999996</v>
      </c>
      <c r="I10" s="1">
        <v>6.0410000000000004</v>
      </c>
      <c r="J10" s="1">
        <v>6.5949999999999998</v>
      </c>
      <c r="K10" s="1">
        <v>6.734</v>
      </c>
      <c r="L10" s="1">
        <v>7.0339999999999998</v>
      </c>
      <c r="M10" s="1">
        <v>9.2560000000000002</v>
      </c>
      <c r="N10" s="1">
        <v>10.41</v>
      </c>
      <c r="O10" s="1">
        <v>8.8049999999999997</v>
      </c>
      <c r="P10" s="1">
        <v>8.9830000000000005</v>
      </c>
      <c r="Q10" s="1">
        <v>10.379</v>
      </c>
      <c r="AB10" s="1">
        <v>12.708</v>
      </c>
      <c r="AC10" s="1">
        <v>24.408999999999999</v>
      </c>
      <c r="AD10" s="1">
        <v>29.619</v>
      </c>
      <c r="AE10" s="1">
        <v>38.576999999999998</v>
      </c>
    </row>
    <row r="11" spans="1:41" s="7" customFormat="1" x14ac:dyDescent="0.2">
      <c r="A11" s="7" t="s">
        <v>0</v>
      </c>
      <c r="E11" s="7">
        <f>+SUM(E9:E10)</f>
        <v>84.698999999999998</v>
      </c>
      <c r="I11" s="7">
        <f>+SUM(I9:I10)</f>
        <v>167.203</v>
      </c>
      <c r="J11" s="7">
        <f>+SUM(J9:J10)</f>
        <v>190.77</v>
      </c>
      <c r="K11" s="7">
        <f>+SUM(K9:K10)</f>
        <v>207.91200000000001</v>
      </c>
      <c r="L11" s="7">
        <f>+SUM(L9:L10)</f>
        <v>226.69899999999998</v>
      </c>
      <c r="M11" s="7">
        <f>+SUM(M9:M10)</f>
        <v>246.619</v>
      </c>
      <c r="N11" s="7">
        <f>+SUM(N9:N10)</f>
        <v>278.17100000000005</v>
      </c>
      <c r="O11" s="7">
        <f>+SUM(O9:O10)</f>
        <v>315.64800000000002</v>
      </c>
      <c r="P11" s="7">
        <f>+SUM(P9:P10)</f>
        <v>401.55599999999998</v>
      </c>
      <c r="Q11" s="7">
        <f>+SUM(Q9:Q10)</f>
        <v>481.13900000000001</v>
      </c>
      <c r="R11" s="7">
        <v>520</v>
      </c>
      <c r="AB11" s="7">
        <f t="shared" ref="AB11:AD11" si="1">+SUM(AB9:AB10)</f>
        <v>271.87800000000004</v>
      </c>
      <c r="AC11" s="7">
        <f t="shared" si="1"/>
        <v>526.91600000000005</v>
      </c>
      <c r="AD11" s="7">
        <f t="shared" si="1"/>
        <v>872</v>
      </c>
      <c r="AE11" s="7">
        <f>+SUM(AE9:AE10)</f>
        <v>1476.5139999999999</v>
      </c>
      <c r="AF11" s="7">
        <v>2300</v>
      </c>
    </row>
    <row r="12" spans="1:41" x14ac:dyDescent="0.2">
      <c r="A12" s="1" t="s">
        <v>1</v>
      </c>
      <c r="E12" s="1">
        <v>22.600999999999999</v>
      </c>
      <c r="I12" s="1">
        <v>34.866</v>
      </c>
      <c r="J12" s="1">
        <v>37.344999999999999</v>
      </c>
      <c r="K12" s="1">
        <v>37.753999999999998</v>
      </c>
      <c r="L12" s="1">
        <v>39.390999999999998</v>
      </c>
      <c r="M12" s="1">
        <v>42.561</v>
      </c>
      <c r="N12" s="1">
        <v>49.076000000000001</v>
      </c>
      <c r="O12" s="1">
        <v>59.034999999999997</v>
      </c>
      <c r="P12" s="1">
        <v>83.67</v>
      </c>
      <c r="Q12" s="1">
        <v>111.598</v>
      </c>
      <c r="AB12" s="1">
        <v>67.384</v>
      </c>
      <c r="AC12" s="1">
        <v>118.194</v>
      </c>
      <c r="AD12" s="1">
        <v>157.05099999999999</v>
      </c>
      <c r="AE12" s="1">
        <v>303.37900000000002</v>
      </c>
    </row>
    <row r="13" spans="1:41" x14ac:dyDescent="0.2">
      <c r="A13" s="1" t="s">
        <v>2</v>
      </c>
      <c r="E13" s="1">
        <f>+E11-E12</f>
        <v>62.097999999999999</v>
      </c>
      <c r="I13" s="1">
        <f>+I11-I12</f>
        <v>132.33699999999999</v>
      </c>
      <c r="J13" s="1">
        <f>+J11-J12</f>
        <v>153.42500000000001</v>
      </c>
      <c r="K13" s="1">
        <f>+K11-K12</f>
        <v>170.15800000000002</v>
      </c>
      <c r="L13" s="1">
        <f>+L11-L12</f>
        <v>187.30799999999999</v>
      </c>
      <c r="M13" s="1">
        <f>+M11-M12</f>
        <v>204.05799999999999</v>
      </c>
      <c r="N13" s="1">
        <f>+N11-N12</f>
        <v>229.09500000000006</v>
      </c>
      <c r="O13" s="1">
        <f>+O11-O12</f>
        <v>256.61300000000006</v>
      </c>
      <c r="P13" s="1">
        <f>+P11-P12</f>
        <v>317.88599999999997</v>
      </c>
      <c r="Q13" s="1">
        <f>+Q11-Q12</f>
        <v>369.541</v>
      </c>
      <c r="AB13" s="1">
        <f>+AB11-AB12</f>
        <v>204.49400000000003</v>
      </c>
      <c r="AC13" s="1">
        <f>+AC11-AC12</f>
        <v>408.72200000000004</v>
      </c>
      <c r="AD13" s="1">
        <f>+AD11-AD12</f>
        <v>714.94900000000007</v>
      </c>
      <c r="AE13" s="1">
        <f>+AE11-AE12</f>
        <v>1173.1349999999998</v>
      </c>
    </row>
    <row r="14" spans="1:41" x14ac:dyDescent="0.2">
      <c r="A14" s="1" t="s">
        <v>38</v>
      </c>
      <c r="E14" s="1">
        <v>42.707000000000001</v>
      </c>
      <c r="I14" s="1">
        <v>85.542000000000002</v>
      </c>
      <c r="J14" s="1">
        <v>97.245000000000005</v>
      </c>
      <c r="K14" s="1">
        <v>107.21899999999999</v>
      </c>
      <c r="L14" s="1">
        <v>116.07599999999999</v>
      </c>
      <c r="M14" s="1">
        <v>125.895</v>
      </c>
      <c r="N14" s="1">
        <v>130.553</v>
      </c>
      <c r="O14" s="1">
        <v>144.922</v>
      </c>
      <c r="P14" s="1">
        <v>182.28399999999999</v>
      </c>
      <c r="Q14" s="1">
        <v>221.08500000000001</v>
      </c>
      <c r="AB14" s="1">
        <v>135.90199999999999</v>
      </c>
      <c r="AC14" s="1">
        <v>272.58699999999999</v>
      </c>
      <c r="AD14" s="1">
        <v>446.435</v>
      </c>
      <c r="AE14" s="1">
        <v>678.84400000000005</v>
      </c>
    </row>
    <row r="15" spans="1:41" x14ac:dyDescent="0.2">
      <c r="A15" s="1" t="s">
        <v>39</v>
      </c>
      <c r="E15" s="1">
        <v>13.845000000000001</v>
      </c>
      <c r="I15" s="1">
        <v>22.521000000000001</v>
      </c>
      <c r="J15" s="1">
        <v>26.181999999999999</v>
      </c>
      <c r="K15" s="1">
        <v>29.227</v>
      </c>
      <c r="L15" s="1">
        <v>31.609000000000002</v>
      </c>
      <c r="M15" s="1">
        <v>32.838999999999999</v>
      </c>
      <c r="N15" s="1">
        <v>38.747</v>
      </c>
      <c r="O15" s="1">
        <v>41.453000000000003</v>
      </c>
      <c r="P15" s="1">
        <v>47.518999999999998</v>
      </c>
      <c r="Q15" s="1">
        <v>58.082999999999998</v>
      </c>
      <c r="AB15" s="1">
        <v>47.593000000000004</v>
      </c>
      <c r="AC15" s="1">
        <v>77.403000000000006</v>
      </c>
      <c r="AD15" s="1">
        <v>119.857</v>
      </c>
      <c r="AE15" s="1">
        <v>185.80199999999999</v>
      </c>
    </row>
    <row r="16" spans="1:41" x14ac:dyDescent="0.2">
      <c r="A16" s="1" t="s">
        <v>3</v>
      </c>
      <c r="E16" s="1">
        <v>5.5720000000000001</v>
      </c>
      <c r="I16" s="1">
        <v>9.3109999999999999</v>
      </c>
      <c r="J16" s="1">
        <v>10.747999999999999</v>
      </c>
      <c r="K16" s="1">
        <v>11.804</v>
      </c>
      <c r="L16" s="1">
        <v>12.27</v>
      </c>
      <c r="M16" s="1">
        <v>13.404999999999999</v>
      </c>
      <c r="N16" s="1">
        <v>15.324</v>
      </c>
      <c r="O16" s="1">
        <v>18.654</v>
      </c>
      <c r="P16" s="1">
        <v>21.091999999999999</v>
      </c>
      <c r="Q16" s="1">
        <v>23.748999999999999</v>
      </c>
      <c r="AB16" s="1">
        <v>22.379000000000001</v>
      </c>
      <c r="AC16" s="1">
        <v>29.236999999999998</v>
      </c>
      <c r="AD16" s="1">
        <v>48.226999999999997</v>
      </c>
      <c r="AE16" s="1">
        <v>78.819000000000003</v>
      </c>
    </row>
    <row r="17" spans="1:31" x14ac:dyDescent="0.2">
      <c r="A17" s="1" t="s">
        <v>40</v>
      </c>
      <c r="E17" s="1">
        <v>21.539000000000001</v>
      </c>
      <c r="I17" s="1">
        <v>27.568000000000001</v>
      </c>
      <c r="J17" s="1">
        <v>30.513000000000002</v>
      </c>
      <c r="K17" s="1">
        <v>31.143999999999998</v>
      </c>
      <c r="L17" s="1">
        <v>35.906999999999996</v>
      </c>
      <c r="M17" s="1">
        <v>32.319000000000003</v>
      </c>
      <c r="N17" s="1">
        <v>34.567999999999998</v>
      </c>
      <c r="O17" s="1">
        <v>40.554000000000002</v>
      </c>
      <c r="P17" s="1">
        <v>44.616999999999997</v>
      </c>
      <c r="Q17" s="1">
        <v>48.027999999999999</v>
      </c>
      <c r="AB17" s="1">
        <v>113.66200000000001</v>
      </c>
      <c r="AC17" s="1">
        <v>98.191999999999993</v>
      </c>
      <c r="AD17" s="1">
        <v>129.88300000000001</v>
      </c>
      <c r="AE17" s="1">
        <v>167.767</v>
      </c>
    </row>
    <row r="18" spans="1:31" x14ac:dyDescent="0.2">
      <c r="A18" s="1" t="s">
        <v>4</v>
      </c>
      <c r="E18" s="1">
        <f>+SUM(E14:E17)</f>
        <v>83.663000000000011</v>
      </c>
      <c r="I18" s="1">
        <f>+SUM(I14:I17)</f>
        <v>144.94200000000001</v>
      </c>
      <c r="J18" s="1">
        <f>+SUM(J14:J17)</f>
        <v>164.68800000000002</v>
      </c>
      <c r="K18" s="1">
        <f>+SUM(K14:K17)</f>
        <v>179.39400000000001</v>
      </c>
      <c r="L18" s="1">
        <f>+SUM(L14:L17)</f>
        <v>195.86200000000002</v>
      </c>
      <c r="M18" s="1">
        <f>+SUM(M14:M17)</f>
        <v>204.45799999999997</v>
      </c>
      <c r="N18" s="1">
        <f>+SUM(N14:N17)</f>
        <v>219.19200000000001</v>
      </c>
      <c r="O18" s="1">
        <f>+SUM(O14:O17)</f>
        <v>245.583</v>
      </c>
      <c r="P18" s="1">
        <f>+SUM(P14:P17)</f>
        <v>295.512</v>
      </c>
      <c r="Q18" s="1">
        <f>+SUM(Q14:Q17)</f>
        <v>350.94500000000005</v>
      </c>
      <c r="AB18" s="1">
        <f>+SUM(AB14:AB17)</f>
        <v>319.536</v>
      </c>
      <c r="AC18" s="1">
        <f>+SUM(AC14:AC17)</f>
        <v>477.41900000000004</v>
      </c>
      <c r="AD18" s="1">
        <f>+SUM(AD14:AD17)</f>
        <v>744.40200000000004</v>
      </c>
      <c r="AE18" s="1">
        <f>+SUM(AE14:AE17)</f>
        <v>1111.232</v>
      </c>
    </row>
    <row r="19" spans="1:31" x14ac:dyDescent="0.2">
      <c r="A19" s="1" t="s">
        <v>5</v>
      </c>
      <c r="E19" s="1">
        <f>+E13-E18</f>
        <v>-21.565000000000012</v>
      </c>
      <c r="I19" s="1">
        <f>+I13-I18</f>
        <v>-12.605000000000018</v>
      </c>
      <c r="J19" s="1">
        <f>+J13-J18</f>
        <v>-11.263000000000005</v>
      </c>
      <c r="K19" s="1">
        <f>+K13-K18</f>
        <v>-9.23599999999999</v>
      </c>
      <c r="L19" s="1">
        <f>+L13-L18</f>
        <v>-8.5540000000000305</v>
      </c>
      <c r="M19" s="1">
        <f>+M13-M18</f>
        <v>-0.39999999999997726</v>
      </c>
      <c r="N19" s="1">
        <f>+N13-N18</f>
        <v>9.9030000000000484</v>
      </c>
      <c r="O19" s="1">
        <f>+O13-O18</f>
        <v>11.030000000000058</v>
      </c>
      <c r="P19" s="1">
        <f>+P13-P18</f>
        <v>22.373999999999967</v>
      </c>
      <c r="Q19" s="1">
        <f>+Q13-Q18</f>
        <v>18.595999999999947</v>
      </c>
      <c r="AB19" s="1">
        <f>+AB13-AB18</f>
        <v>-115.04199999999997</v>
      </c>
      <c r="AC19" s="1">
        <f>+AC13-AC18</f>
        <v>-68.697000000000003</v>
      </c>
      <c r="AD19" s="1">
        <f>+AD13-AD18</f>
        <v>-29.452999999999975</v>
      </c>
      <c r="AE19" s="1">
        <f>+AE13-AE18</f>
        <v>61.902999999999793</v>
      </c>
    </row>
    <row r="20" spans="1:31" x14ac:dyDescent="0.2">
      <c r="A20" s="1" t="s">
        <v>6</v>
      </c>
      <c r="E20" s="1">
        <v>0.125</v>
      </c>
      <c r="I20" s="1">
        <v>1.5189999999999999</v>
      </c>
      <c r="J20" s="1">
        <v>1.877</v>
      </c>
      <c r="K20" s="1">
        <v>2.2389999999999999</v>
      </c>
      <c r="L20" s="1">
        <v>2.226</v>
      </c>
      <c r="M20" s="1">
        <v>2.6150000000000002</v>
      </c>
      <c r="N20" s="1">
        <v>2.5</v>
      </c>
      <c r="O20" s="1">
        <v>2.3940000000000001</v>
      </c>
      <c r="P20" s="1">
        <v>1.2190000000000001</v>
      </c>
      <c r="Q20" s="1">
        <v>3.6949999999999998</v>
      </c>
      <c r="AB20" s="1">
        <v>0.44500000000000001</v>
      </c>
      <c r="AC20" s="1">
        <v>2.9180000000000001</v>
      </c>
      <c r="AD20" s="1">
        <v>8.9570000000000007</v>
      </c>
      <c r="AE20" s="1">
        <v>9.8079999999999998</v>
      </c>
    </row>
    <row r="21" spans="1:31" x14ac:dyDescent="0.2">
      <c r="A21" s="1" t="s">
        <v>7</v>
      </c>
      <c r="E21" s="1">
        <f>+E19+E20</f>
        <v>-21.440000000000012</v>
      </c>
      <c r="I21" s="1">
        <f>+I19+I20</f>
        <v>-11.086000000000018</v>
      </c>
      <c r="J21" s="1">
        <f>+J19+J20</f>
        <v>-9.3860000000000046</v>
      </c>
      <c r="K21" s="1">
        <f>+K19+K20</f>
        <v>-6.9969999999999901</v>
      </c>
      <c r="L21" s="1">
        <f>+L19+L20</f>
        <v>-6.3280000000000305</v>
      </c>
      <c r="M21" s="1">
        <f>+M19+M20</f>
        <v>2.215000000000023</v>
      </c>
      <c r="N21" s="1">
        <f>+N19+N20</f>
        <v>12.403000000000048</v>
      </c>
      <c r="O21" s="1">
        <f>+O19+O20</f>
        <v>13.424000000000058</v>
      </c>
      <c r="P21" s="1">
        <f>+P19+P20</f>
        <v>23.592999999999968</v>
      </c>
      <c r="Q21" s="1">
        <f>+Q19+Q20</f>
        <v>22.290999999999947</v>
      </c>
      <c r="AB21" s="1">
        <f>+AB19+AB20</f>
        <v>-114.59699999999998</v>
      </c>
      <c r="AC21" s="1">
        <f>+AC19+AC20</f>
        <v>-65.778999999999996</v>
      </c>
      <c r="AD21" s="1">
        <f>+AD19+AD20</f>
        <v>-20.495999999999974</v>
      </c>
      <c r="AE21" s="1">
        <f>+AE19+AE20</f>
        <v>71.710999999999785</v>
      </c>
    </row>
    <row r="22" spans="1:31" x14ac:dyDescent="0.2">
      <c r="A22" s="1" t="s">
        <v>8</v>
      </c>
      <c r="E22" s="1">
        <v>-8.6999999999999994E-2</v>
      </c>
      <c r="I22" s="1">
        <v>-0.121</v>
      </c>
      <c r="J22" s="1">
        <v>0.38600000000000001</v>
      </c>
      <c r="K22" s="1">
        <v>-1.2999999999999999E-2</v>
      </c>
      <c r="L22" s="1">
        <v>0.65100000000000002</v>
      </c>
      <c r="M22" s="1">
        <v>0.95099999999999996</v>
      </c>
      <c r="N22" s="1">
        <v>1.2749999999999999</v>
      </c>
      <c r="O22" s="1">
        <v>0.127</v>
      </c>
      <c r="P22" s="1">
        <v>-51.994999999999997</v>
      </c>
      <c r="Q22" s="1">
        <v>-3.734</v>
      </c>
      <c r="AB22" s="1">
        <v>-3.1360000000000001</v>
      </c>
      <c r="AC22" s="1">
        <v>-3.1E-2</v>
      </c>
      <c r="AD22" s="1">
        <v>1.9750000000000001</v>
      </c>
      <c r="AE22" s="1">
        <v>-54.326999999999998</v>
      </c>
    </row>
    <row r="23" spans="1:31" x14ac:dyDescent="0.2">
      <c r="A23" s="1" t="s">
        <v>9</v>
      </c>
      <c r="E23" s="1">
        <f>+E21-E22</f>
        <v>-21.353000000000012</v>
      </c>
      <c r="I23" s="1">
        <f>+I21-I22</f>
        <v>-10.965000000000018</v>
      </c>
      <c r="J23" s="1">
        <f>+J21-J22</f>
        <v>-9.7720000000000038</v>
      </c>
      <c r="K23" s="1">
        <f>+K21-K22</f>
        <v>-6.9839999999999902</v>
      </c>
      <c r="L23" s="1">
        <f>+L21-L22</f>
        <v>-6.9790000000000303</v>
      </c>
      <c r="M23" s="1">
        <f>+M21-M22</f>
        <v>1.2640000000000229</v>
      </c>
      <c r="N23" s="1">
        <f>+N21-N22</f>
        <v>11.128000000000048</v>
      </c>
      <c r="O23" s="1">
        <f>+O21-O22</f>
        <v>13.297000000000057</v>
      </c>
      <c r="P23" s="1">
        <f>+P21-P22</f>
        <v>75.587999999999965</v>
      </c>
      <c r="Q23" s="1">
        <f>+Q21-Q22</f>
        <v>26.024999999999949</v>
      </c>
      <c r="AB23" s="1">
        <f>+AB21-AB22</f>
        <v>-111.46099999999998</v>
      </c>
      <c r="AC23" s="1">
        <f>+AC21-AC22</f>
        <v>-65.74799999999999</v>
      </c>
      <c r="AD23" s="1">
        <f>+AD21-AD22</f>
        <v>-22.470999999999975</v>
      </c>
      <c r="AE23" s="1">
        <f>+AE21-AE22</f>
        <v>126.03799999999978</v>
      </c>
    </row>
    <row r="24" spans="1:31" s="6" customFormat="1" x14ac:dyDescent="0.2">
      <c r="A24" s="6" t="s">
        <v>10</v>
      </c>
      <c r="E24" s="6">
        <f>+E23/E25</f>
        <v>-0.10604214358027782</v>
      </c>
      <c r="I24" s="6">
        <f>+I23/I25</f>
        <v>-5.3191932408475529E-2</v>
      </c>
      <c r="J24" s="6">
        <f>+J23/J25</f>
        <v>-4.7175755245847932E-2</v>
      </c>
      <c r="K24" s="6">
        <f>+K23/K25</f>
        <v>-3.3508805957312933E-2</v>
      </c>
      <c r="L24" s="6">
        <f>+L23/L25</f>
        <v>-3.3212033191227633E-2</v>
      </c>
      <c r="M24" s="6">
        <f>+M23/M25</f>
        <v>5.6975214014951692E-3</v>
      </c>
      <c r="N24" s="6">
        <f>+N23/N25</f>
        <v>4.8516644363383508E-2</v>
      </c>
      <c r="O24" s="6">
        <f>+O23/O25</f>
        <v>5.6633108664250427E-2</v>
      </c>
      <c r="P24" s="6">
        <f>+P23/P25</f>
        <v>0.32155591201461442</v>
      </c>
      <c r="Q24" s="6">
        <f>+Q23/Q25</f>
        <v>0.10811075775775152</v>
      </c>
      <c r="AB24" s="6">
        <f>+AB23/AB25</f>
        <v>-0.54499860451097926</v>
      </c>
      <c r="AC24" s="6">
        <f>+AC23/AC25</f>
        <v>-0.3214807712956807</v>
      </c>
      <c r="AD24" s="6">
        <f>+AD23/AD25</f>
        <v>-0.10733970677033379</v>
      </c>
      <c r="AE24" s="6">
        <f>+AE23/AE25</f>
        <v>0.53223511774110943</v>
      </c>
    </row>
    <row r="25" spans="1:31" x14ac:dyDescent="0.2">
      <c r="A25" s="1" t="s">
        <v>11</v>
      </c>
      <c r="E25" s="1">
        <v>201.363338</v>
      </c>
      <c r="I25" s="1">
        <v>206.14028300000001</v>
      </c>
      <c r="J25" s="1">
        <v>207.140298</v>
      </c>
      <c r="K25" s="1">
        <v>208.42282499999999</v>
      </c>
      <c r="L25" s="1">
        <v>210.134681</v>
      </c>
      <c r="M25" s="1">
        <v>221.85085599999999</v>
      </c>
      <c r="N25" s="1">
        <v>229.36458500000001</v>
      </c>
      <c r="O25" s="1">
        <v>234.79198500000001</v>
      </c>
      <c r="P25" s="1">
        <v>235.06953899999999</v>
      </c>
      <c r="Q25" s="1">
        <v>240.72534999999999</v>
      </c>
      <c r="AB25" s="1">
        <v>204.51612</v>
      </c>
      <c r="AC25" s="1">
        <v>204.51612</v>
      </c>
      <c r="AD25" s="1">
        <v>209.34471199999999</v>
      </c>
      <c r="AE25" s="1">
        <v>236.808876</v>
      </c>
    </row>
    <row r="27" spans="1:31" s="4" customFormat="1" x14ac:dyDescent="0.2">
      <c r="A27" s="4" t="s">
        <v>12</v>
      </c>
      <c r="E27" s="4">
        <f>+E13/E11</f>
        <v>0.73316095821674399</v>
      </c>
      <c r="I27" s="4">
        <f>+I13/I11</f>
        <v>0.79147503334270308</v>
      </c>
      <c r="J27" s="4">
        <f>+J13/J11</f>
        <v>0.80424070870681974</v>
      </c>
      <c r="K27" s="4">
        <f>+K13/K11</f>
        <v>0.81841355958290052</v>
      </c>
      <c r="L27" s="4">
        <f>+L13/L11</f>
        <v>0.82624096268620506</v>
      </c>
      <c r="M27" s="4">
        <f>+M13/M11</f>
        <v>0.82742205588377216</v>
      </c>
      <c r="N27" s="4">
        <f>+N13/N11</f>
        <v>0.82357614560827697</v>
      </c>
      <c r="O27" s="4">
        <f>+O13/O11</f>
        <v>0.8129720448094081</v>
      </c>
      <c r="P27" s="4">
        <f>+P13/P11</f>
        <v>0.7916355377581209</v>
      </c>
      <c r="Q27" s="4">
        <f>+Q13/Q11</f>
        <v>0.76805455388151866</v>
      </c>
      <c r="AB27" s="4">
        <f>+AB13/AB11</f>
        <v>0.75215353945519681</v>
      </c>
      <c r="AC27" s="4">
        <f>+AC13/AC11</f>
        <v>0.77568720630992416</v>
      </c>
      <c r="AD27" s="4">
        <f>+AD13/AD11</f>
        <v>0.81989564220183497</v>
      </c>
      <c r="AE27" s="4">
        <f>+AE13/AE11</f>
        <v>0.79453022456949263</v>
      </c>
    </row>
    <row r="28" spans="1:31" s="4" customFormat="1" x14ac:dyDescent="0.2">
      <c r="A28" s="4" t="s">
        <v>13</v>
      </c>
      <c r="E28" s="4">
        <f>+E19/E11</f>
        <v>-0.25460749241431435</v>
      </c>
      <c r="I28" s="4">
        <f>+I19/I11</f>
        <v>-7.5387403336064654E-2</v>
      </c>
      <c r="J28" s="4">
        <f>+J19/J11</f>
        <v>-5.9039681291607721E-2</v>
      </c>
      <c r="K28" s="4">
        <f>+K19/K11</f>
        <v>-4.4422640347839423E-2</v>
      </c>
      <c r="L28" s="4">
        <f>+L19/L11</f>
        <v>-3.77328528136429E-2</v>
      </c>
      <c r="M28" s="4">
        <f>+M19/M11</f>
        <v>-1.6219350496108462E-3</v>
      </c>
      <c r="N28" s="4">
        <f>+N19/N11</f>
        <v>3.5600404068001502E-2</v>
      </c>
      <c r="O28" s="4">
        <f>+O19/O11</f>
        <v>3.494398824006506E-2</v>
      </c>
      <c r="P28" s="4">
        <f>+P19/P11</f>
        <v>5.5718255984221296E-2</v>
      </c>
      <c r="Q28" s="4">
        <f>+Q19/Q11</f>
        <v>3.864995354772726E-2</v>
      </c>
      <c r="AB28" s="4">
        <f>+AB19/AB11</f>
        <v>-0.42313831939325708</v>
      </c>
      <c r="AC28" s="4">
        <f>+AC19/AC11</f>
        <v>-0.1303756196433587</v>
      </c>
      <c r="AD28" s="4">
        <f>+AD19/AD11</f>
        <v>-3.377637614678896E-2</v>
      </c>
      <c r="AE28" s="4">
        <f>+AE19/AE11</f>
        <v>4.1925101963137361E-2</v>
      </c>
    </row>
    <row r="29" spans="1:31" s="4" customFormat="1" x14ac:dyDescent="0.2">
      <c r="A29" s="4" t="s">
        <v>14</v>
      </c>
      <c r="E29" s="4">
        <f>+E23/E11</f>
        <v>-0.25210451126931854</v>
      </c>
      <c r="I29" s="4">
        <f>+I23/I11</f>
        <v>-6.5578966884565576E-2</v>
      </c>
      <c r="J29" s="4">
        <f>+J23/J11</f>
        <v>-5.1223987000052436E-2</v>
      </c>
      <c r="K29" s="4">
        <f>+K23/K11</f>
        <v>-3.3591134710839153E-2</v>
      </c>
      <c r="L29" s="4">
        <f>+L23/L11</f>
        <v>-3.0785314447792141E-2</v>
      </c>
      <c r="M29" s="4">
        <f>+M23/M11</f>
        <v>5.125314756770658E-3</v>
      </c>
      <c r="N29" s="4">
        <f>+N23/N11</f>
        <v>4.000417009681112E-2</v>
      </c>
      <c r="O29" s="4">
        <f>+O23/O11</f>
        <v>4.2126039132198069E-2</v>
      </c>
      <c r="P29" s="4">
        <f>+P23/P11</f>
        <v>0.18823775513253435</v>
      </c>
      <c r="Q29" s="4">
        <f>+Q23/Q11</f>
        <v>5.4090397993095445E-2</v>
      </c>
      <c r="AB29" s="4">
        <f>+AB23/AB11</f>
        <v>-0.40996697047940606</v>
      </c>
      <c r="AC29" s="4">
        <f>+AC23/AC11</f>
        <v>-0.12477890213999951</v>
      </c>
      <c r="AD29" s="4">
        <f>+AD23/AD11</f>
        <v>-2.5769495412844009E-2</v>
      </c>
      <c r="AE29" s="4">
        <f>+AE23/AE11</f>
        <v>8.5361872627011864E-2</v>
      </c>
    </row>
    <row r="30" spans="1:31" s="4" customFormat="1" x14ac:dyDescent="0.2">
      <c r="A30" s="4" t="s">
        <v>15</v>
      </c>
      <c r="E30" s="4">
        <f>+E22/E21</f>
        <v>4.0578358208955201E-3</v>
      </c>
      <c r="I30" s="4">
        <f>+I22/I21</f>
        <v>1.0914667147753906E-2</v>
      </c>
      <c r="J30" s="4">
        <f>+J22/J21</f>
        <v>-4.1125079906243325E-2</v>
      </c>
      <c r="K30" s="4">
        <f>+K22/K21</f>
        <v>1.8579391167643301E-3</v>
      </c>
      <c r="L30" s="4">
        <f>+L22/L21</f>
        <v>-0.10287610619468977</v>
      </c>
      <c r="M30" s="4">
        <f>+M22/M21</f>
        <v>0.42934537246049215</v>
      </c>
      <c r="N30" s="4">
        <f>+N22/N21</f>
        <v>0.10279771023139522</v>
      </c>
      <c r="O30" s="4">
        <f>+O22/O21</f>
        <v>9.4606674612633685E-3</v>
      </c>
      <c r="P30" s="4">
        <f>+P22/P21</f>
        <v>-2.2038316449794459</v>
      </c>
      <c r="Q30" s="4">
        <f>+Q22/Q21</f>
        <v>-0.16751155174734236</v>
      </c>
      <c r="AB30" s="4">
        <f>+AB22/AB21</f>
        <v>2.7365463319284106E-2</v>
      </c>
      <c r="AC30" s="4">
        <f>+AC22/AC21</f>
        <v>4.7127502698429593E-4</v>
      </c>
      <c r="AD30" s="4">
        <f>+AD22/AD21</f>
        <v>-9.6360265417642588E-2</v>
      </c>
      <c r="AE30" s="4">
        <f>+AE22/AE21</f>
        <v>-0.75758251872097948</v>
      </c>
    </row>
    <row r="31" spans="1:31" s="4" customFormat="1" x14ac:dyDescent="0.2"/>
    <row r="32" spans="1:31" s="4" customFormat="1" x14ac:dyDescent="0.2">
      <c r="A32" s="9" t="s">
        <v>44</v>
      </c>
      <c r="I32" s="4">
        <f>+I3/E3-1</f>
        <v>0.8772563176895305</v>
      </c>
      <c r="J32" s="4" t="e">
        <f>+J3/F3-1</f>
        <v>#DIV/0!</v>
      </c>
      <c r="K32" s="4" t="e">
        <f>+K3/G3-1</f>
        <v>#DIV/0!</v>
      </c>
      <c r="L32" s="4" t="e">
        <f>+L3/H3-1</f>
        <v>#DIV/0!</v>
      </c>
      <c r="M32" s="4">
        <f>+M3/I3-1</f>
        <v>0.47788461538461524</v>
      </c>
      <c r="N32" s="4">
        <f>+N3/J3-1</f>
        <v>0.41356492969396186</v>
      </c>
      <c r="O32" s="4">
        <f>+O3/K3-1</f>
        <v>0.43384615384615377</v>
      </c>
      <c r="P32" s="4">
        <f>+P3/L3-1</f>
        <v>0.43548387096774221</v>
      </c>
      <c r="Q32" s="4">
        <f>+Q3/M3-1</f>
        <v>0.45022771633051417</v>
      </c>
      <c r="AC32" s="4">
        <f t="shared" ref="AC32:AD32" si="2">+AC3/AB3-1</f>
        <v>0.8772563176895305</v>
      </c>
      <c r="AD32" s="4">
        <f t="shared" si="2"/>
        <v>0.47788461538461524</v>
      </c>
      <c r="AE32" s="4">
        <f>+AE3/AD3-1</f>
        <v>0.43135979180221229</v>
      </c>
    </row>
    <row r="33" spans="1:32" s="8" customFormat="1" x14ac:dyDescent="0.2">
      <c r="A33" s="8" t="s">
        <v>16</v>
      </c>
      <c r="I33" s="8">
        <f>+I11/E11-1</f>
        <v>0.97408469993742552</v>
      </c>
      <c r="J33" s="8" t="e">
        <f>+J11/F11-1</f>
        <v>#DIV/0!</v>
      </c>
      <c r="K33" s="8" t="e">
        <f>+K11/G11-1</f>
        <v>#DIV/0!</v>
      </c>
      <c r="L33" s="8" t="e">
        <f>+L11/H11-1</f>
        <v>#DIV/0!</v>
      </c>
      <c r="M33" s="8">
        <f>+M11/I11-1</f>
        <v>0.47496755440990879</v>
      </c>
      <c r="N33" s="8">
        <f>+N11/J11-1</f>
        <v>0.45814855585259751</v>
      </c>
      <c r="O33" s="8">
        <f>+O11/K11-1</f>
        <v>0.51818076878679453</v>
      </c>
      <c r="P33" s="8">
        <f>+P11/L11-1</f>
        <v>0.77131791494448598</v>
      </c>
      <c r="Q33" s="8">
        <f>+Q11/M11-1</f>
        <v>0.95094051958689318</v>
      </c>
      <c r="AB33" s="8" t="e">
        <f>+AB11/AA11-1</f>
        <v>#DIV/0!</v>
      </c>
      <c r="AC33" s="8">
        <f>+AC11/AB11-1</f>
        <v>0.93806045358579948</v>
      </c>
      <c r="AD33" s="8">
        <f>+AD11/AC11-1</f>
        <v>0.65491273751413881</v>
      </c>
      <c r="AE33" s="8">
        <f>+AE11/AD11-1</f>
        <v>0.69324999999999992</v>
      </c>
      <c r="AF33" s="8">
        <f>+AF11/AE11-1</f>
        <v>0.55772312351931652</v>
      </c>
    </row>
    <row r="34" spans="1:32" s="11" customFormat="1" x14ac:dyDescent="0.2">
      <c r="A34" s="11" t="s">
        <v>55</v>
      </c>
      <c r="I34" s="11">
        <f>+I18/E18-1</f>
        <v>0.73245042611429168</v>
      </c>
      <c r="J34" s="11" t="e">
        <f>+J18/F18-1</f>
        <v>#DIV/0!</v>
      </c>
      <c r="K34" s="11" t="e">
        <f>+K18/G18-1</f>
        <v>#DIV/0!</v>
      </c>
      <c r="L34" s="11" t="e">
        <f>+L18/H18-1</f>
        <v>#DIV/0!</v>
      </c>
      <c r="M34" s="11">
        <f>+M18/I18-1</f>
        <v>0.41061942018186559</v>
      </c>
      <c r="N34" s="11">
        <f>+N18/J18-1</f>
        <v>0.33095307490527537</v>
      </c>
      <c r="O34" s="11">
        <f>+O18/K18-1</f>
        <v>0.36895882805445002</v>
      </c>
      <c r="P34" s="11">
        <f>+P18/L18-1</f>
        <v>0.50877658759738975</v>
      </c>
      <c r="Q34" s="11">
        <f>+Q18/M18-1</f>
        <v>0.7164649952557498</v>
      </c>
      <c r="AC34" s="11">
        <f t="shared" ref="AC34:AD34" si="3">+AC18/AB18-1</f>
        <v>0.49410082119072674</v>
      </c>
      <c r="AD34" s="11">
        <f t="shared" si="3"/>
        <v>0.55922156428629766</v>
      </c>
      <c r="AE34" s="11">
        <f>+AE18/AD18-1</f>
        <v>0.4927848125072205</v>
      </c>
    </row>
    <row r="35" spans="1:32" s="8" customFormat="1" x14ac:dyDescent="0.2"/>
    <row r="37" spans="1:32" x14ac:dyDescent="0.2">
      <c r="A37" s="1" t="s">
        <v>50</v>
      </c>
      <c r="J37" s="1">
        <v>9.4830000000000005</v>
      </c>
      <c r="K37" s="1">
        <f>26.309-J37</f>
        <v>16.826000000000001</v>
      </c>
      <c r="L37" s="1">
        <f>51.5-SUM(J37:K37)</f>
        <v>25.190999999999999</v>
      </c>
      <c r="M37" s="1">
        <v>21.983000000000001</v>
      </c>
      <c r="N37" s="1">
        <v>25.838000000000001</v>
      </c>
      <c r="O37" s="1">
        <f>79.432-N37</f>
        <v>53.594000000000001</v>
      </c>
      <c r="P37" s="1">
        <f>164.699-SUM(N37:O37)</f>
        <v>85.26700000000001</v>
      </c>
      <c r="Q37" s="1">
        <v>86.385000000000005</v>
      </c>
      <c r="AB37" s="1">
        <v>-34.411999999999999</v>
      </c>
      <c r="AC37" s="1">
        <v>-26.530999999999999</v>
      </c>
      <c r="AD37" s="1">
        <v>73.483000000000004</v>
      </c>
      <c r="AE37" s="1">
        <v>251.084</v>
      </c>
    </row>
    <row r="38" spans="1:32" x14ac:dyDescent="0.2">
      <c r="A38" s="1" t="s">
        <v>51</v>
      </c>
      <c r="J38" s="1">
        <f>-0.635-1.875</f>
        <v>-2.5099999999999998</v>
      </c>
      <c r="K38" s="1">
        <f>-5.312-4.062-J38</f>
        <v>-6.8640000000000008</v>
      </c>
      <c r="L38" s="1">
        <f>-8.589-6.705-SUM(J38:K38)</f>
        <v>-5.92</v>
      </c>
      <c r="M38" s="1">
        <f>-8.631-2.567</f>
        <v>-11.198</v>
      </c>
      <c r="N38" s="1">
        <f>-10.581-3.377</f>
        <v>-13.957999999999998</v>
      </c>
      <c r="O38" s="1">
        <f>-13.793-6.191-N38</f>
        <v>-6.0259999999999998</v>
      </c>
      <c r="P38" s="1">
        <f>-17.135-8.73-SUM(N38:O38)</f>
        <v>-5.8810000000000038</v>
      </c>
      <c r="Q38" s="1">
        <f>-24.52-2.365</f>
        <v>-26.884999999999998</v>
      </c>
      <c r="AB38" s="1">
        <f>-0.832-4.175</f>
        <v>-5.0069999999999997</v>
      </c>
      <c r="AC38" s="1">
        <f>-2.714-4.533</f>
        <v>-7.2469999999999999</v>
      </c>
      <c r="AD38" s="1">
        <f>-17.22-9.272</f>
        <v>-26.491999999999997</v>
      </c>
      <c r="AE38" s="1">
        <f>-41.655-11.095</f>
        <v>-52.75</v>
      </c>
    </row>
    <row r="39" spans="1:32" x14ac:dyDescent="0.2">
      <c r="A39" s="1" t="s">
        <v>52</v>
      </c>
      <c r="J39" s="1">
        <f>+J37+J38</f>
        <v>6.9730000000000008</v>
      </c>
      <c r="K39" s="1">
        <f>+K37+K38</f>
        <v>9.9619999999999997</v>
      </c>
      <c r="L39" s="1">
        <f>+L37+L38</f>
        <v>19.271000000000001</v>
      </c>
      <c r="M39" s="1">
        <f>+M37+M38</f>
        <v>10.785</v>
      </c>
      <c r="N39" s="1">
        <f>+N37+N38</f>
        <v>11.880000000000003</v>
      </c>
      <c r="O39" s="1">
        <f>+O37+O38</f>
        <v>47.567999999999998</v>
      </c>
      <c r="P39" s="1">
        <f>+P37+P38</f>
        <v>79.38600000000001</v>
      </c>
      <c r="Q39" s="1">
        <f>+Q37+Q38</f>
        <v>59.500000000000007</v>
      </c>
      <c r="AB39" s="1">
        <f t="shared" ref="AB39:AC39" si="4">+AB37+AB38</f>
        <v>-39.418999999999997</v>
      </c>
      <c r="AC39" s="1">
        <f t="shared" si="4"/>
        <v>-33.777999999999999</v>
      </c>
      <c r="AD39" s="1">
        <f>+AD37+AD38</f>
        <v>46.991000000000007</v>
      </c>
      <c r="AE39" s="1">
        <f>+AE37+AE38</f>
        <v>198.334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2025-04-05T11:03:49Z</dcterms:created>
  <dcterms:modified xsi:type="dcterms:W3CDTF">2025-04-05T19:36:10Z</dcterms:modified>
</cp:coreProperties>
</file>