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Internet\"/>
    </mc:Choice>
  </mc:AlternateContent>
  <xr:revisionPtr revIDLastSave="0" documentId="13_ncr:1_{8E12394B-CC54-4346-8CCC-93A5CB94F5BD}" xr6:coauthVersionLast="47" xr6:coauthVersionMax="47" xr10:uidLastSave="{00000000-0000-0000-0000-000000000000}"/>
  <bookViews>
    <workbookView xWindow="-120" yWindow="-120" windowWidth="29040" windowHeight="15840" activeTab="1" xr2:uid="{25DC7270-499D-4085-9331-7D8E654EE38C}"/>
  </bookViews>
  <sheets>
    <sheet name="Main" sheetId="1" r:id="rId1"/>
    <sheet name="Model" sheetId="2" r:id="rId2"/>
    <sheet name="Brok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O6" i="2"/>
  <c r="N6" i="2"/>
  <c r="M6" i="2"/>
  <c r="P6" i="2"/>
  <c r="C7" i="3"/>
  <c r="D3" i="3" s="1"/>
  <c r="P11" i="2"/>
  <c r="R60" i="2"/>
  <c r="Q60" i="2"/>
  <c r="R59" i="2"/>
  <c r="Q59" i="2"/>
  <c r="N60" i="2"/>
  <c r="O60" i="2"/>
  <c r="P60" i="2"/>
  <c r="N59" i="2"/>
  <c r="M59" i="2"/>
  <c r="L59" i="2"/>
  <c r="K59" i="2"/>
  <c r="O59" i="2"/>
  <c r="P59" i="2"/>
  <c r="K57" i="2"/>
  <c r="M57" i="2"/>
  <c r="M39" i="2"/>
  <c r="M48" i="2"/>
  <c r="M51" i="2" s="1"/>
  <c r="M53" i="2" s="1"/>
  <c r="M43" i="2"/>
  <c r="M38" i="2"/>
  <c r="M37" i="2"/>
  <c r="I26" i="2"/>
  <c r="I19" i="2"/>
  <c r="I21" i="2" s="1"/>
  <c r="M26" i="2"/>
  <c r="M19" i="2"/>
  <c r="M11" i="2" s="1"/>
  <c r="J26" i="2"/>
  <c r="J19" i="2"/>
  <c r="J21" i="2" s="1"/>
  <c r="N57" i="2"/>
  <c r="N26" i="2"/>
  <c r="N19" i="2"/>
  <c r="N11" i="2" s="1"/>
  <c r="O57" i="2"/>
  <c r="O48" i="2"/>
  <c r="O51" i="2" s="1"/>
  <c r="O53" i="2" s="1"/>
  <c r="O43" i="2"/>
  <c r="O38" i="2"/>
  <c r="O37" i="2"/>
  <c r="K26" i="2"/>
  <c r="K19" i="2"/>
  <c r="O26" i="2"/>
  <c r="O19" i="2"/>
  <c r="O11" i="2" s="1"/>
  <c r="L57" i="2"/>
  <c r="P57" i="2"/>
  <c r="C7" i="1"/>
  <c r="C9" i="1" s="1"/>
  <c r="C11" i="1" s="1"/>
  <c r="C12" i="1" s="1"/>
  <c r="P48" i="2"/>
  <c r="P51" i="2" s="1"/>
  <c r="P53" i="2" s="1"/>
  <c r="N48" i="2"/>
  <c r="N51" i="2" s="1"/>
  <c r="N53" i="2" s="1"/>
  <c r="P37" i="2"/>
  <c r="L5" i="1" s="1"/>
  <c r="N37" i="2"/>
  <c r="N43" i="2"/>
  <c r="P40" i="2"/>
  <c r="N40" i="2"/>
  <c r="P43" i="2"/>
  <c r="N38" i="2"/>
  <c r="P38" i="2"/>
  <c r="L26" i="2"/>
  <c r="L19" i="2"/>
  <c r="L21" i="2" s="1"/>
  <c r="P26" i="2"/>
  <c r="P19" i="2"/>
  <c r="P21" i="2" s="1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L4" i="1"/>
  <c r="L3" i="1"/>
  <c r="L7" i="1" l="1"/>
  <c r="O45" i="2"/>
  <c r="M45" i="2"/>
  <c r="I27" i="2"/>
  <c r="I29" i="2" s="1"/>
  <c r="I31" i="2" s="1"/>
  <c r="I32" i="2" s="1"/>
  <c r="M35" i="2"/>
  <c r="M21" i="2"/>
  <c r="M27" i="2" s="1"/>
  <c r="M29" i="2" s="1"/>
  <c r="M31" i="2" s="1"/>
  <c r="M32" i="2" s="1"/>
  <c r="J27" i="2"/>
  <c r="J29" i="2" s="1"/>
  <c r="J31" i="2" s="1"/>
  <c r="J32" i="2" s="1"/>
  <c r="N35" i="2"/>
  <c r="N21" i="2"/>
  <c r="N27" i="2" s="1"/>
  <c r="N29" i="2" s="1"/>
  <c r="N31" i="2" s="1"/>
  <c r="N32" i="2" s="1"/>
  <c r="K21" i="2"/>
  <c r="K27" i="2" s="1"/>
  <c r="K29" i="2" s="1"/>
  <c r="K31" i="2" s="1"/>
  <c r="K32" i="2" s="1"/>
  <c r="O35" i="2"/>
  <c r="O21" i="2"/>
  <c r="O27" i="2" s="1"/>
  <c r="O29" i="2" s="1"/>
  <c r="O31" i="2" s="1"/>
  <c r="O32" i="2" s="1"/>
  <c r="C13" i="1"/>
  <c r="C14" i="1" s="1"/>
  <c r="C15" i="1" s="1"/>
  <c r="C16" i="1" s="1"/>
  <c r="C10" i="1"/>
  <c r="N45" i="2"/>
  <c r="P45" i="2"/>
  <c r="L27" i="2"/>
  <c r="L29" i="2" s="1"/>
  <c r="L31" i="2" s="1"/>
  <c r="L32" i="2" s="1"/>
  <c r="P35" i="2"/>
  <c r="P27" i="2"/>
  <c r="P29" i="2" s="1"/>
  <c r="P31" i="2" s="1"/>
  <c r="P32" i="2" s="1"/>
</calcChain>
</file>

<file path=xl/sharedStrings.xml><?xml version="1.0" encoding="utf-8"?>
<sst xmlns="http://schemas.openxmlformats.org/spreadsheetml/2006/main" count="93" uniqueCount="88">
  <si>
    <t>Robinhood</t>
  </si>
  <si>
    <t>(HOOD)</t>
  </si>
  <si>
    <t>Price</t>
  </si>
  <si>
    <t>Shares</t>
  </si>
  <si>
    <t>MC</t>
  </si>
  <si>
    <t>Cash</t>
  </si>
  <si>
    <t>Debt</t>
  </si>
  <si>
    <t>EV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</si>
  <si>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</si>
  <si>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</si>
  <si>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</si>
  <si>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</si>
  <si>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</si>
  <si>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</si>
  <si>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</si>
  <si>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</si>
  <si>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</si>
  <si>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</si>
  <si>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</si>
  <si>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</si>
  <si>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</si>
  <si>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</si>
  <si>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</si>
  <si>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</si>
  <si>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</si>
  <si>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Transactions</t>
  </si>
  <si>
    <t>Other</t>
  </si>
  <si>
    <t>COGS</t>
  </si>
  <si>
    <t>Tech</t>
  </si>
  <si>
    <t>Operations</t>
  </si>
  <si>
    <t>Marketing</t>
  </si>
  <si>
    <t>G&amp;A</t>
  </si>
  <si>
    <t>OpEx</t>
  </si>
  <si>
    <t>OpInc</t>
  </si>
  <si>
    <t>Pretax</t>
  </si>
  <si>
    <t>Taxes</t>
  </si>
  <si>
    <t>EPS</t>
  </si>
  <si>
    <t>Prepaids</t>
  </si>
  <si>
    <t>OCA</t>
  </si>
  <si>
    <t>PP&amp;E</t>
  </si>
  <si>
    <t>Goodwill</t>
  </si>
  <si>
    <t>ONCA</t>
  </si>
  <si>
    <t>Assets</t>
  </si>
  <si>
    <t>AP</t>
  </si>
  <si>
    <t>OCL</t>
  </si>
  <si>
    <t>ONCL</t>
  </si>
  <si>
    <t>Liabilties</t>
  </si>
  <si>
    <t>S/E</t>
  </si>
  <si>
    <t>L+S/E</t>
  </si>
  <si>
    <t>Gross Profit</t>
  </si>
  <si>
    <t>Other Income</t>
  </si>
  <si>
    <t>Net Income</t>
  </si>
  <si>
    <t>Revenue Y/Y</t>
  </si>
  <si>
    <t>Match Incentives</t>
  </si>
  <si>
    <t>Payable to Users</t>
  </si>
  <si>
    <t>Net Interest</t>
  </si>
  <si>
    <t>Net Deposits</t>
  </si>
  <si>
    <t>User Assets</t>
  </si>
  <si>
    <t>ARPU</t>
  </si>
  <si>
    <t>Equities</t>
  </si>
  <si>
    <t>Crypto</t>
  </si>
  <si>
    <t>Options</t>
  </si>
  <si>
    <t>Gold</t>
  </si>
  <si>
    <t>Funded Customers</t>
  </si>
  <si>
    <t>AUC</t>
  </si>
  <si>
    <t>Purchase Amount</t>
  </si>
  <si>
    <t>APR</t>
  </si>
  <si>
    <t>Daily Rate</t>
  </si>
  <si>
    <t xml:space="preserve">Interest after due </t>
  </si>
  <si>
    <t>New Balance: if no payment is made</t>
  </si>
  <si>
    <t>Day after</t>
  </si>
  <si>
    <t>Due days</t>
  </si>
  <si>
    <t>Creditcard</t>
  </si>
  <si>
    <t>Options Contracts</t>
  </si>
  <si>
    <t>MAU</t>
  </si>
  <si>
    <t>CFFO</t>
  </si>
  <si>
    <t>CFFO+Gold</t>
  </si>
  <si>
    <t>SBC</t>
  </si>
  <si>
    <t>CFFO+Gold-SBC</t>
  </si>
  <si>
    <t>TTM</t>
  </si>
  <si>
    <t>Main!A1</t>
  </si>
  <si>
    <t>Schwab</t>
  </si>
  <si>
    <t>MoStan</t>
  </si>
  <si>
    <t>IBKR</t>
  </si>
  <si>
    <t>Total</t>
  </si>
  <si>
    <t>RH</t>
  </si>
  <si>
    <t>Fidelity</t>
  </si>
  <si>
    <t>Average Client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</si>
</sst>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;@"/>
    <numFmt numFmtId="165" formatCode="#,##0.0"/>
    <numFmt numFmtId="166" formatCode="0.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4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164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9" fontId="1" fillId="0" borderId="0" xfId="0" applyNumberFormat="1" applyFont="1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left" indent="1"/>
    </xf>
    <xf numFmtId="0" fontId="3" fillId="0" borderId="0" xfId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28575</xdr:rowOff>
    </xdr:from>
    <xdr:to>
      <xdr:col>16</xdr:col>
      <xdr:colOff>9525</xdr:colOff>
      <xdr:row>72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B993AEC-9E5C-D2A4-D3E2-B78C2B187B6E}"/>
            </a:ext>
          </a:extLst>
        </xdr:cNvPr>
        <xdr:cNvCxnSpPr/>
      </xdr:nvCxnSpPr>
      <xdr:spPr>
        <a:xfrm>
          <a:off x="10229850" y="28575"/>
          <a:ext cx="0" cy="1198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0</xdr:row>
      <xdr:rowOff>28575</xdr:rowOff>
    </xdr:from>
    <xdr:to>
      <xdr:col>29</xdr:col>
      <xdr:colOff>9525</xdr:colOff>
      <xdr:row>52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932C972-CF8F-458F-AE00-88F50B98994D}"/>
            </a:ext>
          </a:extLst>
        </xdr:cNvPr>
        <xdr:cNvCxnSpPr/>
      </xdr:nvCxnSpPr>
      <xdr:spPr>
        <a:xfrm>
          <a:off x="18154650" y="28575"/>
          <a:ext cx="0" cy="6772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B2A0-71B2-42EF-A107-28BF347A4650}">
  <dimension ref="B1:L16"/>
  <sheetViews>
    <sheetView topLeftCell="B1" workbookViewId="0">
      <selection activeCell="L20" sqref="L20"/>
    </sheetView>
  </sheetViews>
  <sheetFormatPr defaultRowHeight="12.75" x14ac:dyDescent="0.2"/>
  <cols>
    <col min="1" max="1" width="3" customWidth="1"/>
    <col min="2" max="2" width="32" bestFit="1" customWidth="1"/>
  </cols>
  <sheetData>
    <row r="1" spans="2:12" ht="30" x14ac:dyDescent="0.4">
      <c r="B1" s="1" t="s">
        <v>0</v>
      </c>
    </row>
    <row r="2" spans="2:12" x14ac:dyDescent="0.2">
      <c r="B2" t="s">
        <v>1</v>
      </c>
      <c r="K2" t="s">
        <v>2</v>
      </c>
      <c r="L2">
        <v>24</v>
      </c>
    </row>
    <row r="3" spans="2:12" x14ac:dyDescent="0.2">
      <c r="K3" t="s">
        <v>3</v>
      </c>
      <c r="L3" s="2">
        <f>762.9108226+121.766715</f>
        <v>884.67753759999994</v>
      </c>
    </row>
    <row r="4" spans="2:12" x14ac:dyDescent="0.2">
      <c r="B4" s="18" t="s">
        <v>72</v>
      </c>
      <c r="K4" t="s">
        <v>4</v>
      </c>
      <c r="L4" s="2">
        <f>+L2*L3</f>
        <v>21232.260902399998</v>
      </c>
    </row>
    <row r="5" spans="2:12" x14ac:dyDescent="0.2">
      <c r="B5" t="s">
        <v>65</v>
      </c>
      <c r="C5" s="8">
        <v>1000</v>
      </c>
      <c r="K5" t="s">
        <v>5</v>
      </c>
      <c r="L5" s="2">
        <f>+Model!P37</f>
        <v>7591</v>
      </c>
    </row>
    <row r="6" spans="2:12" x14ac:dyDescent="0.2">
      <c r="B6" t="s">
        <v>66</v>
      </c>
      <c r="C6" s="14">
        <v>0.25</v>
      </c>
      <c r="K6" t="s">
        <v>6</v>
      </c>
      <c r="L6" s="2">
        <v>0</v>
      </c>
    </row>
    <row r="7" spans="2:12" x14ac:dyDescent="0.2">
      <c r="B7" t="s">
        <v>67</v>
      </c>
      <c r="C7" s="17">
        <f>+C6/365</f>
        <v>6.8493150684931507E-4</v>
      </c>
      <c r="K7" t="s">
        <v>7</v>
      </c>
      <c r="L7" s="2">
        <f>+L4-L5</f>
        <v>13641.260902399998</v>
      </c>
    </row>
    <row r="8" spans="2:12" x14ac:dyDescent="0.2">
      <c r="B8" t="s">
        <v>71</v>
      </c>
      <c r="C8">
        <v>21</v>
      </c>
      <c r="L8" s="2">
        <v>2159</v>
      </c>
    </row>
    <row r="9" spans="2:12" x14ac:dyDescent="0.2">
      <c r="B9" t="s">
        <v>68</v>
      </c>
      <c r="C9" s="12">
        <f>+C5*C7*C8</f>
        <v>14.383561643835616</v>
      </c>
      <c r="L9">
        <f>+L7/L8</f>
        <v>6.3183237157943477</v>
      </c>
    </row>
    <row r="10" spans="2:12" x14ac:dyDescent="0.2">
      <c r="C10" s="15">
        <f>+C9/C5</f>
        <v>1.4383561643835616E-2</v>
      </c>
    </row>
    <row r="11" spans="2:12" x14ac:dyDescent="0.2">
      <c r="B11" t="s">
        <v>69</v>
      </c>
      <c r="C11" s="6">
        <f>+C5+C9</f>
        <v>1014.3835616438356</v>
      </c>
    </row>
    <row r="12" spans="2:12" x14ac:dyDescent="0.2">
      <c r="B12" t="s">
        <v>70</v>
      </c>
      <c r="C12">
        <f>+C11*$C$7+C11</f>
        <v>1015.0783449052354</v>
      </c>
    </row>
    <row r="13" spans="2:12" x14ac:dyDescent="0.2">
      <c r="C13">
        <f>+C12*$C$7+C12</f>
        <v>1015.7736040455815</v>
      </c>
    </row>
    <row r="14" spans="2:12" x14ac:dyDescent="0.2">
      <c r="C14">
        <f>+C13*$C$7+C13</f>
        <v>1016.4693393908182</v>
      </c>
    </row>
    <row r="15" spans="2:12" x14ac:dyDescent="0.2">
      <c r="C15">
        <f>+C14*$C$7+C14</f>
        <v>1017.1655512671133</v>
      </c>
    </row>
    <row r="16" spans="2:12" x14ac:dyDescent="0.2">
      <c r="C16">
        <f>+C15*$C$7+C15</f>
        <v>1017.8622400008579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CE04-3D68-4C29-9B18-0C2F6938FA9A}">
  <dimension ref="B1:AN60"/>
  <sheetViews>
    <sheetView tabSelected="1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C59" sqref="C59"/>
    </sheetView>
  </sheetViews>
  <sheetFormatPr defaultRowHeight="12.75" x14ac:dyDescent="0.2"/>
  <cols>
    <col min="1" max="1" width="2.42578125" style="8" customWidth="1"/>
    <col min="2" max="2" width="22.85546875" style="2" customWidth="1"/>
    <col min="3" max="16384" width="9.140625" style="8"/>
  </cols>
  <sheetData>
    <row r="1" spans="2:40" ht="30" x14ac:dyDescent="0.4">
      <c r="B1" s="3" t="s">
        <v>0</v>
      </c>
    </row>
    <row r="2" spans="2:40" s="9" customFormat="1" x14ac:dyDescent="0.2">
      <c r="B2" s="4" t="s">
        <v>1</v>
      </c>
    </row>
    <row r="3" spans="2:40" x14ac:dyDescent="0.2">
      <c r="C3" s="8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T3" s="10">
        <v>2014</v>
      </c>
      <c r="U3" s="10">
        <f t="shared" ref="U3:AN3" si="0">+T3+1</f>
        <v>2015</v>
      </c>
      <c r="V3" s="10">
        <f t="shared" si="0"/>
        <v>2016</v>
      </c>
      <c r="W3" s="10">
        <f t="shared" si="0"/>
        <v>2017</v>
      </c>
      <c r="X3" s="10">
        <f t="shared" si="0"/>
        <v>2018</v>
      </c>
      <c r="Y3" s="10">
        <f t="shared" si="0"/>
        <v>2019</v>
      </c>
      <c r="Z3" s="10">
        <f t="shared" si="0"/>
        <v>2020</v>
      </c>
      <c r="AA3" s="10">
        <f t="shared" si="0"/>
        <v>2021</v>
      </c>
      <c r="AB3" s="10">
        <f t="shared" si="0"/>
        <v>2022</v>
      </c>
      <c r="AC3" s="10">
        <f t="shared" si="0"/>
        <v>2023</v>
      </c>
      <c r="AD3" s="10">
        <f t="shared" si="0"/>
        <v>2024</v>
      </c>
      <c r="AE3" s="10">
        <f t="shared" si="0"/>
        <v>2025</v>
      </c>
      <c r="AF3" s="10">
        <f t="shared" si="0"/>
        <v>2026</v>
      </c>
      <c r="AG3" s="10">
        <f t="shared" si="0"/>
        <v>2027</v>
      </c>
      <c r="AH3" s="10">
        <f t="shared" si="0"/>
        <v>2028</v>
      </c>
      <c r="AI3" s="10">
        <f t="shared" si="0"/>
        <v>2029</v>
      </c>
      <c r="AJ3" s="10">
        <f t="shared" si="0"/>
        <v>2030</v>
      </c>
      <c r="AK3" s="10">
        <f t="shared" si="0"/>
        <v>2031</v>
      </c>
      <c r="AL3" s="10">
        <f t="shared" si="0"/>
        <v>2032</v>
      </c>
      <c r="AM3" s="10">
        <f t="shared" si="0"/>
        <v>2033</v>
      </c>
      <c r="AN3" s="10">
        <f t="shared" si="0"/>
        <v>2034</v>
      </c>
    </row>
    <row r="4" spans="2:40" x14ac:dyDescent="0.2">
      <c r="B4" s="2" t="s">
        <v>74</v>
      </c>
      <c r="M4" s="16">
        <v>10.3</v>
      </c>
      <c r="N4" s="16">
        <v>10.9</v>
      </c>
      <c r="O4" s="16">
        <v>13.7</v>
      </c>
      <c r="P4" s="16">
        <v>11.8</v>
      </c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2:40" x14ac:dyDescent="0.2">
      <c r="B5" s="2" t="s">
        <v>73</v>
      </c>
      <c r="N5" s="16"/>
      <c r="O5" s="16">
        <v>343.6</v>
      </c>
      <c r="P5" s="16">
        <v>389.7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 spans="2:40" x14ac:dyDescent="0.2">
      <c r="B6" s="2" t="s">
        <v>87</v>
      </c>
      <c r="M6" s="8">
        <f t="shared" ref="M6:O6" si="1">+M7/M10*1000</f>
        <v>3733.9055793991415</v>
      </c>
      <c r="N6" s="8">
        <f t="shared" si="1"/>
        <v>4384.6153846153848</v>
      </c>
      <c r="O6" s="8">
        <f t="shared" si="1"/>
        <v>5422.5941422594142</v>
      </c>
      <c r="P6" s="8">
        <f>+P7/P10*1000</f>
        <v>5772.7272727272721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spans="2:40" x14ac:dyDescent="0.2">
      <c r="B7" s="2" t="s">
        <v>64</v>
      </c>
      <c r="M7" s="8">
        <v>87000</v>
      </c>
      <c r="N7" s="8">
        <v>102600</v>
      </c>
      <c r="O7" s="8">
        <v>129600</v>
      </c>
      <c r="P7" s="8">
        <v>139700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spans="2:40" x14ac:dyDescent="0.2">
      <c r="B8" s="2" t="s">
        <v>56</v>
      </c>
      <c r="M8" s="8">
        <v>4000</v>
      </c>
      <c r="N8" s="8">
        <v>4600</v>
      </c>
      <c r="O8" s="8">
        <v>11200</v>
      </c>
      <c r="P8" s="8">
        <v>13200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 spans="2:40" x14ac:dyDescent="0.2">
      <c r="B9" s="2" t="s">
        <v>62</v>
      </c>
      <c r="N9" s="8">
        <v>1420</v>
      </c>
      <c r="O9" s="8">
        <v>1700</v>
      </c>
      <c r="P9" s="8">
        <v>2000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spans="2:40" x14ac:dyDescent="0.2">
      <c r="B10" s="2" t="s">
        <v>63</v>
      </c>
      <c r="M10" s="8">
        <v>23300</v>
      </c>
      <c r="N10" s="8">
        <v>23400</v>
      </c>
      <c r="O10" s="8">
        <v>23900</v>
      </c>
      <c r="P10" s="8">
        <v>24200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 spans="2:40" x14ac:dyDescent="0.2">
      <c r="B11" s="2" t="s">
        <v>58</v>
      </c>
      <c r="M11" s="8">
        <f>+M19*1000/M10</f>
        <v>20.042918454935624</v>
      </c>
      <c r="N11" s="8">
        <f>+N19*1000/N10</f>
        <v>20.128205128205128</v>
      </c>
      <c r="O11" s="8">
        <f>+O19*1000/O10</f>
        <v>25.85774058577406</v>
      </c>
      <c r="P11" s="8">
        <f>+P19*1000/P10</f>
        <v>28.181818181818183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 spans="2:40" x14ac:dyDescent="0.2"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r="13" spans="2:40" x14ac:dyDescent="0.2">
      <c r="B13" s="2" t="s">
        <v>59</v>
      </c>
      <c r="M13" s="8">
        <v>27</v>
      </c>
      <c r="N13" s="8">
        <v>25</v>
      </c>
      <c r="O13" s="8">
        <v>39</v>
      </c>
      <c r="P13" s="8">
        <v>40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</row>
    <row r="14" spans="2:40" x14ac:dyDescent="0.2">
      <c r="B14" s="2" t="s">
        <v>60</v>
      </c>
      <c r="M14" s="8">
        <v>23</v>
      </c>
      <c r="N14" s="8">
        <v>43</v>
      </c>
      <c r="O14" s="8">
        <v>126</v>
      </c>
      <c r="P14" s="8">
        <v>81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</row>
    <row r="15" spans="2:40" x14ac:dyDescent="0.2">
      <c r="B15" s="2" t="s">
        <v>61</v>
      </c>
      <c r="M15" s="8">
        <v>124</v>
      </c>
      <c r="N15" s="8">
        <v>121</v>
      </c>
      <c r="O15" s="8">
        <v>154</v>
      </c>
      <c r="P15" s="8">
        <v>182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2:40" x14ac:dyDescent="0.2">
      <c r="B16" s="2" t="s">
        <v>25</v>
      </c>
      <c r="I16" s="8">
        <v>208</v>
      </c>
      <c r="J16" s="8">
        <v>814</v>
      </c>
      <c r="K16" s="8">
        <v>207</v>
      </c>
      <c r="L16" s="8">
        <v>193</v>
      </c>
      <c r="M16" s="8">
        <v>185</v>
      </c>
      <c r="N16" s="8">
        <v>200</v>
      </c>
      <c r="O16" s="8">
        <v>329</v>
      </c>
      <c r="P16" s="8">
        <v>327</v>
      </c>
    </row>
    <row r="17" spans="2:18" x14ac:dyDescent="0.2">
      <c r="B17" s="2" t="s">
        <v>55</v>
      </c>
      <c r="I17" s="8">
        <v>128</v>
      </c>
      <c r="J17" s="8">
        <v>424</v>
      </c>
      <c r="K17" s="8">
        <v>208</v>
      </c>
      <c r="L17" s="8">
        <v>234</v>
      </c>
      <c r="M17" s="8">
        <v>251</v>
      </c>
      <c r="N17" s="8">
        <v>236</v>
      </c>
      <c r="O17" s="8">
        <v>254</v>
      </c>
      <c r="P17" s="8">
        <v>285</v>
      </c>
    </row>
    <row r="18" spans="2:18" x14ac:dyDescent="0.2">
      <c r="B18" s="2" t="s">
        <v>26</v>
      </c>
      <c r="I18" s="8">
        <v>25</v>
      </c>
      <c r="J18" s="8">
        <v>120</v>
      </c>
      <c r="K18" s="8">
        <v>26</v>
      </c>
      <c r="L18" s="8">
        <v>59</v>
      </c>
      <c r="M18" s="8">
        <v>31</v>
      </c>
      <c r="N18" s="8">
        <v>35</v>
      </c>
      <c r="O18" s="8">
        <v>35</v>
      </c>
      <c r="P18" s="8">
        <v>70</v>
      </c>
    </row>
    <row r="19" spans="2:18" s="11" customFormat="1" x14ac:dyDescent="0.2">
      <c r="B19" s="5" t="s">
        <v>24</v>
      </c>
      <c r="I19" s="11">
        <f t="shared" ref="I19:P19" si="2">+SUM(I16:I18)</f>
        <v>361</v>
      </c>
      <c r="J19" s="11">
        <f t="shared" si="2"/>
        <v>1358</v>
      </c>
      <c r="K19" s="11">
        <f t="shared" si="2"/>
        <v>441</v>
      </c>
      <c r="L19" s="11">
        <f t="shared" si="2"/>
        <v>486</v>
      </c>
      <c r="M19" s="11">
        <f t="shared" si="2"/>
        <v>467</v>
      </c>
      <c r="N19" s="11">
        <f t="shared" si="2"/>
        <v>471</v>
      </c>
      <c r="O19" s="11">
        <f t="shared" si="2"/>
        <v>618</v>
      </c>
      <c r="P19" s="11">
        <f t="shared" si="2"/>
        <v>682</v>
      </c>
    </row>
    <row r="20" spans="2:18" x14ac:dyDescent="0.2">
      <c r="B20" s="2" t="s">
        <v>27</v>
      </c>
      <c r="I20" s="8">
        <v>33</v>
      </c>
      <c r="J20" s="8">
        <v>179</v>
      </c>
      <c r="K20" s="8">
        <v>36</v>
      </c>
      <c r="L20" s="8">
        <v>39</v>
      </c>
      <c r="M20" s="8">
        <v>39</v>
      </c>
      <c r="N20" s="8">
        <v>32</v>
      </c>
      <c r="O20" s="8">
        <v>35</v>
      </c>
      <c r="P20" s="8">
        <v>40</v>
      </c>
    </row>
    <row r="21" spans="2:18" x14ac:dyDescent="0.2">
      <c r="B21" s="2" t="s">
        <v>49</v>
      </c>
      <c r="I21" s="8">
        <f t="shared" ref="I21:P21" si="3">+I19-I20</f>
        <v>328</v>
      </c>
      <c r="J21" s="8">
        <f t="shared" si="3"/>
        <v>1179</v>
      </c>
      <c r="K21" s="8">
        <f t="shared" si="3"/>
        <v>405</v>
      </c>
      <c r="L21" s="8">
        <f t="shared" si="3"/>
        <v>447</v>
      </c>
      <c r="M21" s="8">
        <f t="shared" si="3"/>
        <v>428</v>
      </c>
      <c r="N21" s="8">
        <f t="shared" si="3"/>
        <v>439</v>
      </c>
      <c r="O21" s="8">
        <f t="shared" si="3"/>
        <v>583</v>
      </c>
      <c r="P21" s="8">
        <f t="shared" si="3"/>
        <v>642</v>
      </c>
    </row>
    <row r="22" spans="2:18" x14ac:dyDescent="0.2">
      <c r="B22" s="2" t="s">
        <v>28</v>
      </c>
      <c r="I22" s="8">
        <v>185</v>
      </c>
      <c r="J22" s="8">
        <v>878</v>
      </c>
      <c r="K22" s="8">
        <v>199</v>
      </c>
      <c r="L22" s="8">
        <v>207</v>
      </c>
      <c r="M22" s="8">
        <v>202</v>
      </c>
      <c r="N22" s="8">
        <v>197</v>
      </c>
      <c r="O22" s="8">
        <v>196</v>
      </c>
      <c r="P22" s="8">
        <v>209</v>
      </c>
    </row>
    <row r="23" spans="2:18" x14ac:dyDescent="0.2">
      <c r="B23" s="2" t="s">
        <v>29</v>
      </c>
      <c r="I23" s="8">
        <v>65</v>
      </c>
      <c r="J23" s="8">
        <v>285</v>
      </c>
      <c r="K23" s="8">
        <v>42</v>
      </c>
      <c r="L23" s="8">
        <v>36</v>
      </c>
      <c r="M23" s="8">
        <v>41</v>
      </c>
      <c r="N23" s="8">
        <v>40</v>
      </c>
      <c r="O23" s="8">
        <v>44</v>
      </c>
      <c r="P23" s="8">
        <v>46</v>
      </c>
    </row>
    <row r="24" spans="2:18" x14ac:dyDescent="0.2">
      <c r="B24" s="2" t="s">
        <v>30</v>
      </c>
      <c r="I24" s="8">
        <v>19</v>
      </c>
      <c r="J24" s="8">
        <v>103</v>
      </c>
      <c r="K24" s="8">
        <v>26</v>
      </c>
      <c r="L24" s="8">
        <v>25</v>
      </c>
      <c r="M24" s="8">
        <v>28</v>
      </c>
      <c r="N24" s="8">
        <v>43</v>
      </c>
      <c r="O24" s="8">
        <v>67</v>
      </c>
      <c r="P24" s="8">
        <v>64</v>
      </c>
    </row>
    <row r="25" spans="2:18" x14ac:dyDescent="0.2">
      <c r="B25" s="2" t="s">
        <v>31</v>
      </c>
      <c r="I25" s="8">
        <v>233</v>
      </c>
      <c r="J25" s="8">
        <v>924</v>
      </c>
      <c r="K25" s="8">
        <v>647</v>
      </c>
      <c r="L25" s="8">
        <v>159</v>
      </c>
      <c r="M25" s="8">
        <v>230</v>
      </c>
      <c r="N25" s="8">
        <v>133</v>
      </c>
      <c r="O25" s="8">
        <v>118</v>
      </c>
      <c r="P25" s="8">
        <v>134</v>
      </c>
      <c r="R25" s="12"/>
    </row>
    <row r="26" spans="2:18" x14ac:dyDescent="0.2">
      <c r="B26" s="2" t="s">
        <v>32</v>
      </c>
      <c r="I26" s="8">
        <f t="shared" ref="I26:P26" si="4">+SUM(I22:I25)</f>
        <v>502</v>
      </c>
      <c r="J26" s="8">
        <f t="shared" si="4"/>
        <v>2190</v>
      </c>
      <c r="K26" s="8">
        <f t="shared" si="4"/>
        <v>914</v>
      </c>
      <c r="L26" s="8">
        <f t="shared" si="4"/>
        <v>427</v>
      </c>
      <c r="M26" s="8">
        <f t="shared" si="4"/>
        <v>501</v>
      </c>
      <c r="N26" s="8">
        <f t="shared" si="4"/>
        <v>413</v>
      </c>
      <c r="O26" s="8">
        <f t="shared" si="4"/>
        <v>425</v>
      </c>
      <c r="P26" s="8">
        <f t="shared" si="4"/>
        <v>453</v>
      </c>
    </row>
    <row r="27" spans="2:18" x14ac:dyDescent="0.2">
      <c r="B27" s="2" t="s">
        <v>33</v>
      </c>
      <c r="I27" s="8">
        <f t="shared" ref="I27:P27" si="5">+I21-I26</f>
        <v>-174</v>
      </c>
      <c r="J27" s="8">
        <f t="shared" si="5"/>
        <v>-1011</v>
      </c>
      <c r="K27" s="8">
        <f t="shared" si="5"/>
        <v>-509</v>
      </c>
      <c r="L27" s="8">
        <f t="shared" si="5"/>
        <v>20</v>
      </c>
      <c r="M27" s="8">
        <f t="shared" si="5"/>
        <v>-73</v>
      </c>
      <c r="N27" s="8">
        <f t="shared" si="5"/>
        <v>26</v>
      </c>
      <c r="O27" s="8">
        <f t="shared" si="5"/>
        <v>158</v>
      </c>
      <c r="P27" s="8">
        <f t="shared" si="5"/>
        <v>189</v>
      </c>
    </row>
    <row r="28" spans="2:18" x14ac:dyDescent="0.2">
      <c r="B28" s="2" t="s">
        <v>50</v>
      </c>
      <c r="I28" s="8">
        <v>0</v>
      </c>
      <c r="J28" s="8">
        <v>-16</v>
      </c>
      <c r="K28" s="8">
        <v>0</v>
      </c>
      <c r="L28" s="8">
        <v>2</v>
      </c>
      <c r="M28" s="8">
        <v>-2</v>
      </c>
      <c r="N28" s="8">
        <v>3</v>
      </c>
      <c r="O28" s="8">
        <v>4</v>
      </c>
      <c r="P28" s="8">
        <v>2</v>
      </c>
    </row>
    <row r="29" spans="2:18" x14ac:dyDescent="0.2">
      <c r="B29" s="2" t="s">
        <v>34</v>
      </c>
      <c r="I29" s="8">
        <f t="shared" ref="I29:P29" si="6">+I27+I28</f>
        <v>-174</v>
      </c>
      <c r="J29" s="8">
        <f t="shared" si="6"/>
        <v>-1027</v>
      </c>
      <c r="K29" s="8">
        <f t="shared" si="6"/>
        <v>-509</v>
      </c>
      <c r="L29" s="8">
        <f t="shared" si="6"/>
        <v>22</v>
      </c>
      <c r="M29" s="8">
        <f t="shared" si="6"/>
        <v>-75</v>
      </c>
      <c r="N29" s="8">
        <f t="shared" si="6"/>
        <v>29</v>
      </c>
      <c r="O29" s="8">
        <f t="shared" si="6"/>
        <v>162</v>
      </c>
      <c r="P29" s="8">
        <f t="shared" si="6"/>
        <v>191</v>
      </c>
    </row>
    <row r="30" spans="2:18" x14ac:dyDescent="0.2">
      <c r="B30" s="2" t="s">
        <v>35</v>
      </c>
      <c r="I30" s="8">
        <v>1</v>
      </c>
      <c r="J30" s="8">
        <v>1</v>
      </c>
      <c r="K30" s="8">
        <v>2</v>
      </c>
      <c r="L30" s="8">
        <v>-3</v>
      </c>
      <c r="M30" s="8">
        <v>10</v>
      </c>
      <c r="N30" s="8">
        <v>-1</v>
      </c>
      <c r="O30" s="8">
        <v>5</v>
      </c>
      <c r="P30" s="8">
        <v>3</v>
      </c>
    </row>
    <row r="31" spans="2:18" x14ac:dyDescent="0.2">
      <c r="B31" s="2" t="s">
        <v>51</v>
      </c>
      <c r="I31" s="8">
        <f t="shared" ref="I31:P31" si="7">+I29-I30</f>
        <v>-175</v>
      </c>
      <c r="J31" s="8">
        <f t="shared" si="7"/>
        <v>-1028</v>
      </c>
      <c r="K31" s="8">
        <f t="shared" si="7"/>
        <v>-511</v>
      </c>
      <c r="L31" s="8">
        <f t="shared" si="7"/>
        <v>25</v>
      </c>
      <c r="M31" s="8">
        <f t="shared" si="7"/>
        <v>-85</v>
      </c>
      <c r="N31" s="8">
        <f t="shared" si="7"/>
        <v>30</v>
      </c>
      <c r="O31" s="8">
        <f t="shared" si="7"/>
        <v>157</v>
      </c>
      <c r="P31" s="8">
        <f t="shared" si="7"/>
        <v>188</v>
      </c>
    </row>
    <row r="32" spans="2:18" x14ac:dyDescent="0.2">
      <c r="B32" s="2" t="s">
        <v>36</v>
      </c>
      <c r="I32" s="12">
        <f t="shared" ref="I32:P32" si="8">+I31/I33</f>
        <v>-0.1983325165339194</v>
      </c>
      <c r="J32" s="12">
        <f t="shared" si="8"/>
        <v>-1.1700032686340343</v>
      </c>
      <c r="K32" s="12">
        <f t="shared" si="8"/>
        <v>-0.56972452966076481</v>
      </c>
      <c r="L32" s="12">
        <f t="shared" si="8"/>
        <v>2.713646033329159E-2</v>
      </c>
      <c r="M32" s="12">
        <f t="shared" si="8"/>
        <v>-9.4960524295599869E-2</v>
      </c>
      <c r="N32" s="12">
        <f t="shared" si="8"/>
        <v>3.3966315742807542E-2</v>
      </c>
      <c r="O32" s="12">
        <f t="shared" si="8"/>
        <v>0.17526641374011434</v>
      </c>
      <c r="P32" s="12">
        <f t="shared" si="8"/>
        <v>0.20785180721596289</v>
      </c>
    </row>
    <row r="33" spans="2:20" x14ac:dyDescent="0.2">
      <c r="B33" s="2" t="s">
        <v>3</v>
      </c>
      <c r="I33" s="8">
        <v>882.35657500000002</v>
      </c>
      <c r="J33" s="8">
        <v>878.63002400000005</v>
      </c>
      <c r="K33" s="8">
        <v>896.92469500000004</v>
      </c>
      <c r="L33" s="8">
        <v>921.26974900000005</v>
      </c>
      <c r="M33" s="8">
        <v>895.10879</v>
      </c>
      <c r="N33" s="8">
        <v>883.22796700000004</v>
      </c>
      <c r="O33" s="8">
        <v>895.77915499999995</v>
      </c>
      <c r="P33" s="8">
        <v>904.49057200000004</v>
      </c>
    </row>
    <row r="35" spans="2:20" s="13" customFormat="1" x14ac:dyDescent="0.2">
      <c r="B35" s="7" t="s">
        <v>52</v>
      </c>
      <c r="M35" s="13">
        <f>+M19/I19-1</f>
        <v>0.29362880886426601</v>
      </c>
      <c r="N35" s="13">
        <f>+N19/J19-1</f>
        <v>-0.65316642120765833</v>
      </c>
      <c r="O35" s="13">
        <f>+O19/K19-1</f>
        <v>0.40136054421768708</v>
      </c>
      <c r="P35" s="13">
        <f>+P19/L19-1</f>
        <v>0.40329218106995879</v>
      </c>
    </row>
    <row r="37" spans="2:20" x14ac:dyDescent="0.2">
      <c r="B37" s="2" t="s">
        <v>5</v>
      </c>
      <c r="M37" s="8">
        <f>4889+275+1396+372+118</f>
        <v>7050</v>
      </c>
      <c r="N37" s="8">
        <f>4835+338+1592+413+73</f>
        <v>7251</v>
      </c>
      <c r="O37" s="8">
        <f>4717+585+1975+495+10</f>
        <v>7782</v>
      </c>
      <c r="P37" s="8">
        <f>4524+551+2011+503+2</f>
        <v>7591</v>
      </c>
    </row>
    <row r="38" spans="2:20" x14ac:dyDescent="0.2">
      <c r="B38" s="2" t="s">
        <v>57</v>
      </c>
      <c r="M38" s="8">
        <f>3448+63+3704+1204+10183</f>
        <v>18602</v>
      </c>
      <c r="N38" s="8">
        <f>4448+89+3495+1602+14708</f>
        <v>24342</v>
      </c>
      <c r="O38" s="8">
        <f>4521+207+4303+2107+26223</f>
        <v>37361</v>
      </c>
      <c r="P38" s="8">
        <f>4584+149+5040+2217+20643</f>
        <v>32633</v>
      </c>
      <c r="T38" s="14"/>
    </row>
    <row r="39" spans="2:20" x14ac:dyDescent="0.2">
      <c r="B39" s="2" t="s">
        <v>37</v>
      </c>
      <c r="M39" s="8">
        <f>75+3</f>
        <v>78</v>
      </c>
      <c r="N39" s="8">
        <v>63</v>
      </c>
      <c r="O39" s="8">
        <v>64</v>
      </c>
      <c r="P39" s="8">
        <v>65</v>
      </c>
      <c r="T39" s="17"/>
    </row>
    <row r="40" spans="2:20" x14ac:dyDescent="0.2">
      <c r="B40" s="2" t="s">
        <v>53</v>
      </c>
      <c r="M40" s="8">
        <v>0</v>
      </c>
      <c r="N40" s="8">
        <f>11+19</f>
        <v>30</v>
      </c>
      <c r="O40" s="8">
        <v>0</v>
      </c>
      <c r="P40" s="8">
        <f>67+159</f>
        <v>226</v>
      </c>
      <c r="T40" s="12"/>
    </row>
    <row r="41" spans="2:20" x14ac:dyDescent="0.2">
      <c r="B41" s="2" t="s">
        <v>38</v>
      </c>
      <c r="M41" s="8">
        <v>130</v>
      </c>
      <c r="N41" s="8">
        <v>196</v>
      </c>
      <c r="O41" s="8">
        <v>348</v>
      </c>
      <c r="P41" s="8">
        <v>352</v>
      </c>
      <c r="T41" s="15"/>
    </row>
    <row r="42" spans="2:20" x14ac:dyDescent="0.2">
      <c r="B42" s="2" t="s">
        <v>39</v>
      </c>
      <c r="M42" s="8">
        <v>123</v>
      </c>
      <c r="N42" s="8">
        <v>120</v>
      </c>
      <c r="O42" s="8">
        <v>122</v>
      </c>
      <c r="P42" s="8">
        <v>123</v>
      </c>
    </row>
    <row r="43" spans="2:20" x14ac:dyDescent="0.2">
      <c r="B43" s="2" t="s">
        <v>40</v>
      </c>
      <c r="M43" s="8">
        <f>164+53</f>
        <v>217</v>
      </c>
      <c r="N43" s="8">
        <f>175+48</f>
        <v>223</v>
      </c>
      <c r="O43" s="8">
        <f>175+46</f>
        <v>221</v>
      </c>
      <c r="P43" s="8">
        <f>179+45</f>
        <v>224</v>
      </c>
    </row>
    <row r="44" spans="2:20" x14ac:dyDescent="0.2">
      <c r="B44" s="2" t="s">
        <v>41</v>
      </c>
      <c r="M44" s="8">
        <v>118</v>
      </c>
      <c r="N44" s="8">
        <v>107</v>
      </c>
      <c r="O44" s="8">
        <v>190</v>
      </c>
      <c r="P44" s="8">
        <v>132</v>
      </c>
    </row>
    <row r="45" spans="2:20" x14ac:dyDescent="0.2">
      <c r="B45" s="2" t="s">
        <v>42</v>
      </c>
      <c r="M45" s="8">
        <f>+SUM(M37:M44)</f>
        <v>26318</v>
      </c>
      <c r="N45" s="8">
        <f>+SUM(N37:N44)</f>
        <v>32332</v>
      </c>
      <c r="O45" s="8">
        <f>+SUM(O37:O44)</f>
        <v>46088</v>
      </c>
      <c r="P45" s="8">
        <f>+SUM(P37:P44)</f>
        <v>41346</v>
      </c>
    </row>
    <row r="47" spans="2:20" x14ac:dyDescent="0.2">
      <c r="B47" s="2" t="s">
        <v>43</v>
      </c>
      <c r="M47" s="8">
        <v>373</v>
      </c>
      <c r="N47" s="8">
        <v>384</v>
      </c>
      <c r="O47" s="8">
        <v>351</v>
      </c>
      <c r="P47" s="8">
        <v>386</v>
      </c>
    </row>
    <row r="48" spans="2:20" x14ac:dyDescent="0.2">
      <c r="B48" s="2" t="s">
        <v>54</v>
      </c>
      <c r="M48" s="8">
        <f>4325+3245+10183+1396</f>
        <v>19149</v>
      </c>
      <c r="N48" s="8">
        <f>5097+3547+14708+1592</f>
        <v>24944</v>
      </c>
      <c r="O48" s="8">
        <f>6074+4215+26223+1975</f>
        <v>38487</v>
      </c>
      <c r="P48" s="8">
        <f>5789+5091+20643+2011</f>
        <v>33534</v>
      </c>
    </row>
    <row r="49" spans="2:18" x14ac:dyDescent="0.2">
      <c r="B49" s="2" t="s">
        <v>44</v>
      </c>
      <c r="M49" s="8">
        <v>126</v>
      </c>
      <c r="N49" s="8">
        <v>217</v>
      </c>
      <c r="O49" s="8">
        <v>275</v>
      </c>
      <c r="P49" s="8">
        <v>220</v>
      </c>
    </row>
    <row r="50" spans="2:18" x14ac:dyDescent="0.2">
      <c r="B50" s="2" t="s">
        <v>45</v>
      </c>
      <c r="M50" s="8">
        <v>96</v>
      </c>
      <c r="N50" s="8">
        <v>91</v>
      </c>
      <c r="O50" s="8">
        <v>90</v>
      </c>
      <c r="P50" s="8">
        <v>84</v>
      </c>
    </row>
    <row r="51" spans="2:18" x14ac:dyDescent="0.2">
      <c r="B51" s="2" t="s">
        <v>46</v>
      </c>
      <c r="M51" s="8">
        <f>+SUM(M47:M50)</f>
        <v>19744</v>
      </c>
      <c r="N51" s="8">
        <f>+SUM(N47:N50)</f>
        <v>25636</v>
      </c>
      <c r="O51" s="8">
        <f>+SUM(O47:O50)</f>
        <v>39203</v>
      </c>
      <c r="P51" s="8">
        <f>+SUM(P47:P50)</f>
        <v>34224</v>
      </c>
    </row>
    <row r="52" spans="2:18" x14ac:dyDescent="0.2">
      <c r="B52" s="2" t="s">
        <v>47</v>
      </c>
      <c r="M52" s="8">
        <v>6574</v>
      </c>
      <c r="N52" s="8">
        <v>6696</v>
      </c>
      <c r="O52" s="8">
        <v>6885</v>
      </c>
      <c r="P52" s="8">
        <v>7122</v>
      </c>
    </row>
    <row r="53" spans="2:18" x14ac:dyDescent="0.2">
      <c r="B53" s="2" t="s">
        <v>48</v>
      </c>
      <c r="M53" s="8">
        <f>+M51+M52</f>
        <v>26318</v>
      </c>
      <c r="N53" s="8">
        <f>+N51+N52</f>
        <v>32332</v>
      </c>
      <c r="O53" s="8">
        <f>+O51+O52</f>
        <v>46088</v>
      </c>
      <c r="P53" s="8">
        <f>+P52+P51</f>
        <v>41346</v>
      </c>
    </row>
    <row r="55" spans="2:18" x14ac:dyDescent="0.2">
      <c r="B55" s="2" t="s">
        <v>75</v>
      </c>
      <c r="K55" s="8">
        <v>828</v>
      </c>
      <c r="L55" s="8">
        <v>370</v>
      </c>
      <c r="M55" s="8">
        <v>-977</v>
      </c>
      <c r="N55" s="8">
        <v>960</v>
      </c>
      <c r="O55" s="8">
        <v>-623</v>
      </c>
      <c r="P55" s="8">
        <v>54</v>
      </c>
    </row>
    <row r="56" spans="2:18" x14ac:dyDescent="0.2">
      <c r="B56" s="2" t="s">
        <v>62</v>
      </c>
      <c r="K56" s="8">
        <v>-57</v>
      </c>
      <c r="L56" s="8">
        <v>168</v>
      </c>
      <c r="M56" s="8">
        <v>-391</v>
      </c>
      <c r="N56" s="8">
        <v>204</v>
      </c>
      <c r="O56" s="8">
        <v>796</v>
      </c>
      <c r="P56" s="8">
        <v>742</v>
      </c>
    </row>
    <row r="57" spans="2:18" x14ac:dyDescent="0.2">
      <c r="B57" s="2" t="s">
        <v>76</v>
      </c>
      <c r="K57" s="8">
        <f>+K55+K56</f>
        <v>771</v>
      </c>
      <c r="L57" s="8">
        <f>+L55+L56</f>
        <v>538</v>
      </c>
      <c r="M57" s="8">
        <f>+M56+M55</f>
        <v>-1368</v>
      </c>
      <c r="N57" s="8">
        <f>+N56+N55</f>
        <v>1164</v>
      </c>
      <c r="O57" s="8">
        <f>+O56+O55</f>
        <v>173</v>
      </c>
      <c r="P57" s="8">
        <f>+P55+P56</f>
        <v>796</v>
      </c>
    </row>
    <row r="58" spans="2:18" x14ac:dyDescent="0.2">
      <c r="B58" s="2" t="s">
        <v>77</v>
      </c>
      <c r="K58" s="8">
        <v>62</v>
      </c>
      <c r="L58" s="8">
        <v>109</v>
      </c>
      <c r="M58" s="8">
        <v>83</v>
      </c>
      <c r="N58" s="8">
        <v>160</v>
      </c>
      <c r="O58" s="8">
        <v>598</v>
      </c>
      <c r="P58" s="8">
        <v>86</v>
      </c>
    </row>
    <row r="59" spans="2:18" x14ac:dyDescent="0.2">
      <c r="B59" s="2" t="s">
        <v>78</v>
      </c>
      <c r="K59" s="8">
        <f t="shared" ref="K59:N59" si="9">+K57-K58</f>
        <v>709</v>
      </c>
      <c r="L59" s="8">
        <f t="shared" si="9"/>
        <v>429</v>
      </c>
      <c r="M59" s="8">
        <f t="shared" si="9"/>
        <v>-1451</v>
      </c>
      <c r="N59" s="8">
        <f t="shared" si="9"/>
        <v>1004</v>
      </c>
      <c r="O59" s="8">
        <f>+O57-O58</f>
        <v>-425</v>
      </c>
      <c r="P59" s="8">
        <f>+P57-P58</f>
        <v>710</v>
      </c>
      <c r="Q59" s="8">
        <f>+P59*1.2</f>
        <v>852</v>
      </c>
      <c r="R59" s="8">
        <f>+Q59*1.2</f>
        <v>1022.4</v>
      </c>
    </row>
    <row r="60" spans="2:18" x14ac:dyDescent="0.2">
      <c r="B60" s="19" t="s">
        <v>79</v>
      </c>
      <c r="N60" s="8">
        <f>+SUM(K59:N59)</f>
        <v>691</v>
      </c>
      <c r="O60" s="8">
        <f>+SUM(L59:O59)</f>
        <v>-443</v>
      </c>
      <c r="P60" s="8">
        <f>+SUM(M59:P59)</f>
        <v>-162</v>
      </c>
      <c r="Q60" s="8">
        <f>+SUM(N59:Q59)</f>
        <v>2141</v>
      </c>
      <c r="R60" s="8">
        <f>+SUM(O59:R59)</f>
        <v>2159.4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D843-81EB-42B1-87C9-A9E7855C8A92}">
  <dimension ref="A1:D8"/>
  <sheetViews>
    <sheetView workbookViewId="0">
      <selection activeCell="D7" sqref="D7"/>
    </sheetView>
  </sheetViews>
  <sheetFormatPr defaultRowHeight="12.75" x14ac:dyDescent="0.2"/>
  <sheetData>
    <row r="1" spans="1:4" x14ac:dyDescent="0.2">
      <c r="A1" s="20" t="s">
        <v>80</v>
      </c>
    </row>
    <row r="2" spans="1:4" x14ac:dyDescent="0.2">
      <c r="B2" t="s">
        <v>81</v>
      </c>
      <c r="C2" s="2">
        <v>9400</v>
      </c>
    </row>
    <row r="3" spans="1:4" x14ac:dyDescent="0.2">
      <c r="B3" t="s">
        <v>85</v>
      </c>
      <c r="C3" s="2">
        <v>140</v>
      </c>
      <c r="D3" s="21">
        <f>+C3/C7</f>
        <v>6.8503204971375447E-3</v>
      </c>
    </row>
    <row r="4" spans="1:4" x14ac:dyDescent="0.2">
      <c r="B4" t="s">
        <v>82</v>
      </c>
      <c r="C4" s="2">
        <v>4900</v>
      </c>
    </row>
    <row r="5" spans="1:4" x14ac:dyDescent="0.2">
      <c r="B5" t="s">
        <v>86</v>
      </c>
      <c r="C5" s="2">
        <v>5500</v>
      </c>
    </row>
    <row r="6" spans="1:4" x14ac:dyDescent="0.2">
      <c r="B6" t="s">
        <v>83</v>
      </c>
      <c r="C6" s="2">
        <v>497</v>
      </c>
    </row>
    <row r="7" spans="1:4" x14ac:dyDescent="0.2">
      <c r="B7" t="s">
        <v>84</v>
      </c>
      <c r="C7" s="2">
        <f>+SUM(C2:C6)</f>
        <v>20437</v>
      </c>
    </row>
    <row r="8" spans="1:4" x14ac:dyDescent="0.2">
      <c r="C8" s="2"/>
    </row>
  </sheetData>
  <hyperlinks>
    <hyperlink ref="A1" location="Main!A1" display="Main!A1" xr:uid="{D7440ED5-03D2-4969-92F2-E95A6409DC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Brokers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2024-09-27T05:33:23Z</dcterms:created>
  <dcterms:modified xsi:type="dcterms:W3CDTF">2024-11-16T19:20:49Z</dcterms:modified>
</cp:coreProperties>
</file>