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ryptominers\"/>
    </mc:Choice>
  </mc:AlternateContent>
  <xr:revisionPtr revIDLastSave="0" documentId="13_ncr:1_{F85E5002-BE47-4292-9B44-5A9B5C7061FE}" xr6:coauthVersionLast="47" xr6:coauthVersionMax="47" xr10:uidLastSave="{00000000-0000-0000-0000-000000000000}"/>
  <bookViews>
    <workbookView xWindow="2850" yWindow="270" windowWidth="13995" windowHeight="15495" activeTab="1" xr2:uid="{8971DF7C-CF45-4540-933B-F76903BEAFD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G32" i="2"/>
  <c r="F32" i="2"/>
  <c r="I32" i="2"/>
  <c r="I22" i="2"/>
  <c r="I19" i="2"/>
  <c r="I18" i="2"/>
  <c r="I16" i="2"/>
  <c r="I15" i="2"/>
  <c r="I13" i="2"/>
  <c r="I12" i="2"/>
  <c r="E20" i="2"/>
  <c r="E19" i="2"/>
  <c r="E18" i="2"/>
  <c r="E16" i="2"/>
  <c r="E13" i="2"/>
  <c r="E12" i="2"/>
  <c r="D14" i="2"/>
  <c r="D27" i="2" s="1"/>
  <c r="H14" i="2"/>
  <c r="H27" i="2" s="1"/>
  <c r="C14" i="2"/>
  <c r="C27" i="2" s="1"/>
  <c r="G14" i="2"/>
  <c r="G17" i="2" s="1"/>
  <c r="F14" i="2"/>
  <c r="F17" i="2" s="1"/>
  <c r="B14" i="2"/>
  <c r="B17" i="2" s="1"/>
  <c r="L10" i="1"/>
  <c r="L6" i="1"/>
  <c r="L9" i="1"/>
  <c r="L5" i="1"/>
  <c r="H17" i="2" l="1"/>
  <c r="I14" i="2"/>
  <c r="C17" i="2"/>
  <c r="D17" i="2"/>
  <c r="G21" i="2"/>
  <c r="G23" i="2" s="1"/>
  <c r="G24" i="2" s="1"/>
  <c r="F21" i="2"/>
  <c r="F23" i="2" s="1"/>
  <c r="F24" i="2" s="1"/>
  <c r="B21" i="2"/>
  <c r="B23" i="2" s="1"/>
  <c r="B24" i="2" s="1"/>
  <c r="B28" i="2"/>
  <c r="F28" i="2"/>
  <c r="F27" i="2"/>
  <c r="B27" i="2"/>
  <c r="E14" i="2"/>
  <c r="G27" i="2"/>
  <c r="G28" i="2"/>
  <c r="L11" i="1"/>
  <c r="G30" i="2" l="1"/>
  <c r="F30" i="2"/>
  <c r="G29" i="2"/>
  <c r="B30" i="2"/>
  <c r="I27" i="2"/>
  <c r="I17" i="2"/>
  <c r="E27" i="2"/>
  <c r="E17" i="2"/>
  <c r="E21" i="2" s="1"/>
  <c r="F29" i="2"/>
  <c r="B29" i="2"/>
  <c r="D28" i="2"/>
  <c r="D21" i="2"/>
  <c r="H28" i="2"/>
  <c r="H21" i="2"/>
  <c r="C28" i="2"/>
  <c r="C21" i="2"/>
  <c r="I28" i="2" l="1"/>
  <c r="I21" i="2"/>
  <c r="E28" i="2"/>
  <c r="E30" i="2"/>
  <c r="E23" i="2"/>
  <c r="D23" i="2"/>
  <c r="D30" i="2"/>
  <c r="H30" i="2"/>
  <c r="H23" i="2"/>
  <c r="C30" i="2"/>
  <c r="C23" i="2"/>
  <c r="I30" i="2" l="1"/>
  <c r="I23" i="2"/>
  <c r="E29" i="2"/>
  <c r="E24" i="2"/>
  <c r="D24" i="2"/>
  <c r="D29" i="2"/>
  <c r="H29" i="2"/>
  <c r="H24" i="2"/>
  <c r="C29" i="2"/>
  <c r="C24" i="2"/>
  <c r="I29" i="2" l="1"/>
  <c r="I24" i="2"/>
</calcChain>
</file>

<file path=xl/sharedStrings.xml><?xml version="1.0" encoding="utf-8"?>
<sst xmlns="http://schemas.openxmlformats.org/spreadsheetml/2006/main" count="51" uniqueCount="47">
  <si>
    <t>Hut 8</t>
  </si>
  <si>
    <t>Price</t>
  </si>
  <si>
    <t>Shares</t>
  </si>
  <si>
    <t>MC</t>
  </si>
  <si>
    <t>Cash</t>
  </si>
  <si>
    <t>Debt</t>
  </si>
  <si>
    <t>EV</t>
  </si>
  <si>
    <t>Price BTC</t>
  </si>
  <si>
    <t>Total BTC</t>
  </si>
  <si>
    <t>BTC</t>
  </si>
  <si>
    <t>(HUT)</t>
  </si>
  <si>
    <t>(in millions)</t>
  </si>
  <si>
    <t>Revenue</t>
  </si>
  <si>
    <t>COGS</t>
  </si>
  <si>
    <t>Gross profit</t>
  </si>
  <si>
    <t>Q123</t>
  </si>
  <si>
    <t>Q223</t>
  </si>
  <si>
    <t>Q122</t>
  </si>
  <si>
    <t>Q222</t>
  </si>
  <si>
    <t>Q322</t>
  </si>
  <si>
    <t>Q422</t>
  </si>
  <si>
    <t>Q323</t>
  </si>
  <si>
    <t>Q423</t>
  </si>
  <si>
    <t>G&amp;A</t>
  </si>
  <si>
    <t>Operating income</t>
  </si>
  <si>
    <t>FX loss</t>
  </si>
  <si>
    <t>Interest expense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</si>
  <si>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</si>
  <si>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</si>
  <si>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</si>
  <si>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</si>
  <si>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</si>
  <si>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</si>
  <si>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</si>
  <si>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</si>
  <si>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 rate</t>
  </si>
  <si>
    <t>D&amp;A</t>
  </si>
  <si>
    <t>Cost to mine a Bitcoin</t>
  </si>
  <si>
    <t>(Excluding hosted facilities)</t>
  </si>
  <si>
    <t>Energy cost per MWh</t>
  </si>
  <si>
    <t>Hosting cost per MWh</t>
  </si>
  <si>
    <t>Bitcoin mined</t>
  </si>
  <si>
    <t>Energy capacity under management</t>
  </si>
  <si>
    <t>839 MW</t>
  </si>
  <si>
    <t>730 MW</t>
  </si>
  <si>
    <t>Price of Bitcoin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</si>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</sst>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28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2" fillId="0" borderId="0" xfId="0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14" fontId="2" fillId="0" borderId="0" xfId="0" applyNumberFormat="1" applyFont="1"/>
    <xf numFmtId="9" fontId="2" fillId="0" borderId="0" xfId="0" applyNumberFormat="1" applyFont="1"/>
    <xf numFmtId="3" fontId="5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9" fontId="1" fillId="0" borderId="0" xfId="0" applyNumberFormat="1" applyFont="1"/>
    <xf numFmtId="3" fontId="2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3137-D9C8-4199-B911-8A7848CD793B}">
  <dimension ref="A1:L20"/>
  <sheetViews>
    <sheetView workbookViewId="0">
      <selection activeCell="L7" sqref="L7"/>
    </sheetView>
  </sheetViews>
  <sheetFormatPr defaultRowHeight="12.75" x14ac:dyDescent="0.2"/>
  <cols>
    <col min="1" max="1" width="15" style="1" bestFit="1" customWidth="1"/>
    <col min="2" max="2" width="9.140625" style="1"/>
    <col min="3" max="3" width="9.85546875" style="1" customWidth="1"/>
    <col min="4" max="4" width="10.28515625" style="1" customWidth="1"/>
    <col min="5" max="5" width="10" style="1" customWidth="1"/>
    <col min="6" max="11" width="9.140625" style="1"/>
    <col min="12" max="12" width="11.140625" style="1" bestFit="1" customWidth="1"/>
    <col min="13" max="16384" width="9.140625" style="1"/>
  </cols>
  <sheetData>
    <row r="1" spans="1:12" ht="34.5" x14ac:dyDescent="0.45">
      <c r="A1" s="3" t="s">
        <v>0</v>
      </c>
    </row>
    <row r="2" spans="1:12" x14ac:dyDescent="0.2">
      <c r="A2" s="4" t="s">
        <v>10</v>
      </c>
    </row>
    <row r="3" spans="1:12" x14ac:dyDescent="0.2">
      <c r="A3" s="4" t="s">
        <v>11</v>
      </c>
      <c r="K3" s="1" t="s">
        <v>1</v>
      </c>
      <c r="L3" s="2">
        <v>10</v>
      </c>
    </row>
    <row r="4" spans="1:12" x14ac:dyDescent="0.2">
      <c r="K4" s="1" t="s">
        <v>2</v>
      </c>
      <c r="L4" s="2">
        <v>88.962963999999999</v>
      </c>
    </row>
    <row r="5" spans="1:12" x14ac:dyDescent="0.2">
      <c r="H5" s="5"/>
      <c r="K5" s="1" t="s">
        <v>3</v>
      </c>
      <c r="L5" s="2">
        <f>+L3*L4</f>
        <v>889.62963999999999</v>
      </c>
    </row>
    <row r="6" spans="1:12" x14ac:dyDescent="0.2">
      <c r="H6" s="2"/>
      <c r="K6" s="1" t="s">
        <v>4</v>
      </c>
      <c r="L6" s="2">
        <f>12.744+1.253</f>
        <v>13.997</v>
      </c>
    </row>
    <row r="7" spans="1:12" x14ac:dyDescent="0.2">
      <c r="H7" s="5"/>
      <c r="K7" s="1" t="s">
        <v>9</v>
      </c>
      <c r="L7" s="2">
        <v>9.1</v>
      </c>
    </row>
    <row r="8" spans="1:12" x14ac:dyDescent="0.2">
      <c r="K8" s="1" t="s">
        <v>7</v>
      </c>
      <c r="L8" s="2">
        <v>73</v>
      </c>
    </row>
    <row r="9" spans="1:12" x14ac:dyDescent="0.2">
      <c r="K9" s="1" t="s">
        <v>8</v>
      </c>
      <c r="L9" s="2">
        <f>+L7*L8</f>
        <v>664.3</v>
      </c>
    </row>
    <row r="10" spans="1:12" x14ac:dyDescent="0.2">
      <c r="K10" s="1" t="s">
        <v>5</v>
      </c>
      <c r="L10" s="2">
        <f>0.985+140.847</f>
        <v>141.83200000000002</v>
      </c>
    </row>
    <row r="11" spans="1:12" x14ac:dyDescent="0.2">
      <c r="K11" s="1" t="s">
        <v>6</v>
      </c>
      <c r="L11" s="2">
        <f>+L5-L6-L9+L10</f>
        <v>353.16464000000008</v>
      </c>
    </row>
    <row r="18" spans="4:4" x14ac:dyDescent="0.2">
      <c r="D18" s="2"/>
    </row>
    <row r="19" spans="4:4" x14ac:dyDescent="0.2">
      <c r="D19" s="2"/>
    </row>
    <row r="20" spans="4:4" x14ac:dyDescent="0.2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E0E6-CEC9-47ED-8BEC-45B529742E21}">
  <dimension ref="A1:I32"/>
  <sheetViews>
    <sheetView tabSelected="1" workbookViewId="0">
      <selection activeCell="G8" sqref="G8"/>
    </sheetView>
  </sheetViews>
  <sheetFormatPr defaultRowHeight="12.75" x14ac:dyDescent="0.2"/>
  <cols>
    <col min="1" max="1" width="31.5703125" style="4" bestFit="1" customWidth="1"/>
    <col min="2" max="9" width="10.140625" style="4" bestFit="1" customWidth="1"/>
    <col min="10" max="16384" width="9.140625" style="4"/>
  </cols>
  <sheetData>
    <row r="1" spans="1:9" ht="34.5" x14ac:dyDescent="0.45">
      <c r="A1" s="3" t="s">
        <v>0</v>
      </c>
    </row>
    <row r="2" spans="1:9" x14ac:dyDescent="0.2">
      <c r="A2" s="4" t="s">
        <v>10</v>
      </c>
      <c r="B2" s="8">
        <v>44651</v>
      </c>
      <c r="C2" s="8">
        <v>44772</v>
      </c>
      <c r="D2" s="8">
        <v>44834</v>
      </c>
      <c r="E2" s="8">
        <v>44926</v>
      </c>
      <c r="F2" s="8">
        <v>45016</v>
      </c>
      <c r="G2" s="8">
        <v>45137</v>
      </c>
      <c r="H2" s="8">
        <v>45199</v>
      </c>
      <c r="I2" s="8">
        <v>45291</v>
      </c>
    </row>
    <row r="3" spans="1:9" x14ac:dyDescent="0.2">
      <c r="A3" s="4" t="s">
        <v>11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15</v>
      </c>
      <c r="G3" s="6" t="s">
        <v>16</v>
      </c>
      <c r="H3" s="6" t="s">
        <v>21</v>
      </c>
      <c r="I3" s="6" t="s">
        <v>22</v>
      </c>
    </row>
    <row r="4" spans="1:9" s="11" customFormat="1" x14ac:dyDescent="0.2">
      <c r="A4" s="13" t="s">
        <v>45</v>
      </c>
      <c r="B4" s="12"/>
      <c r="C4" s="12"/>
      <c r="D4" s="12"/>
      <c r="E4" s="18">
        <v>16547</v>
      </c>
      <c r="F4" s="12"/>
      <c r="G4" s="12"/>
      <c r="H4" s="12"/>
      <c r="I4" s="18">
        <v>42265</v>
      </c>
    </row>
    <row r="5" spans="1:9" s="11" customFormat="1" x14ac:dyDescent="0.2">
      <c r="A5" s="13" t="s">
        <v>37</v>
      </c>
      <c r="B5" s="12"/>
      <c r="C5" s="12"/>
      <c r="D5" s="12"/>
      <c r="E5" s="18">
        <v>16305</v>
      </c>
      <c r="F5" s="12"/>
      <c r="G5" s="12"/>
      <c r="H5" s="12"/>
      <c r="I5" s="18">
        <v>18815</v>
      </c>
    </row>
    <row r="6" spans="1:9" s="11" customFormat="1" x14ac:dyDescent="0.2">
      <c r="A6" s="13" t="s">
        <v>38</v>
      </c>
      <c r="B6" s="12"/>
      <c r="C6" s="12"/>
      <c r="D6" s="12"/>
      <c r="E6" s="18">
        <v>16447</v>
      </c>
      <c r="F6" s="12"/>
      <c r="G6" s="12"/>
      <c r="H6" s="12"/>
      <c r="I6" s="18">
        <v>16353</v>
      </c>
    </row>
    <row r="7" spans="1:9" s="16" customFormat="1" x14ac:dyDescent="0.2">
      <c r="A7" s="14" t="s">
        <v>39</v>
      </c>
      <c r="B7" s="15"/>
      <c r="C7" s="15"/>
      <c r="D7" s="15"/>
      <c r="E7" s="19">
        <v>73.19</v>
      </c>
      <c r="F7" s="15"/>
      <c r="G7" s="15"/>
      <c r="H7" s="15"/>
      <c r="I7" s="19">
        <v>44.52</v>
      </c>
    </row>
    <row r="8" spans="1:9" s="16" customFormat="1" x14ac:dyDescent="0.2">
      <c r="A8" s="14" t="s">
        <v>40</v>
      </c>
      <c r="B8" s="15"/>
      <c r="C8" s="15"/>
      <c r="D8" s="15"/>
      <c r="E8" s="19">
        <v>22.61</v>
      </c>
      <c r="F8" s="15"/>
      <c r="G8" s="15"/>
      <c r="H8" s="15"/>
      <c r="I8" s="19">
        <v>63.33</v>
      </c>
    </row>
    <row r="9" spans="1:9" s="11" customFormat="1" x14ac:dyDescent="0.2">
      <c r="A9" s="13" t="s">
        <v>41</v>
      </c>
      <c r="B9" s="12"/>
      <c r="C9" s="12"/>
      <c r="D9" s="12"/>
      <c r="E9" s="18">
        <v>1273</v>
      </c>
      <c r="F9" s="12"/>
      <c r="G9" s="12"/>
      <c r="H9" s="12"/>
      <c r="I9" s="18">
        <v>1244</v>
      </c>
    </row>
    <row r="10" spans="1:9" s="11" customFormat="1" x14ac:dyDescent="0.2">
      <c r="A10" s="13" t="s">
        <v>42</v>
      </c>
      <c r="B10" s="12"/>
      <c r="C10" s="12"/>
      <c r="D10" s="12"/>
      <c r="E10" s="20" t="s">
        <v>44</v>
      </c>
      <c r="F10" s="12"/>
      <c r="G10" s="12"/>
      <c r="H10" s="12"/>
      <c r="I10" s="20" t="s">
        <v>43</v>
      </c>
    </row>
    <row r="11" spans="1:9" x14ac:dyDescent="0.2">
      <c r="B11" s="6"/>
      <c r="C11" s="6"/>
      <c r="D11" s="6"/>
      <c r="E11" s="6"/>
      <c r="F11" s="6"/>
      <c r="G11" s="6"/>
      <c r="H11" s="6"/>
      <c r="I11" s="6"/>
    </row>
    <row r="12" spans="1:9" s="7" customFormat="1" x14ac:dyDescent="0.2">
      <c r="A12" s="7" t="s">
        <v>12</v>
      </c>
      <c r="B12" s="10">
        <v>53.332999999999998</v>
      </c>
      <c r="C12" s="10">
        <v>43.844999999999999</v>
      </c>
      <c r="D12" s="10">
        <v>31.670999999999999</v>
      </c>
      <c r="E12" s="10">
        <f>150.682-SUM(B12:D12)</f>
        <v>21.832999999999998</v>
      </c>
      <c r="F12" s="10">
        <v>19.021000000000001</v>
      </c>
      <c r="G12" s="10">
        <v>19.183</v>
      </c>
      <c r="H12" s="10">
        <v>16.98</v>
      </c>
      <c r="I12" s="10">
        <f>60.605-SUM(H12)</f>
        <v>43.625</v>
      </c>
    </row>
    <row r="13" spans="1:9" x14ac:dyDescent="0.2">
      <c r="A13" s="4" t="s">
        <v>13</v>
      </c>
      <c r="B13" s="11">
        <v>36.878</v>
      </c>
      <c r="C13" s="11">
        <v>47.686</v>
      </c>
      <c r="D13" s="11">
        <v>45.610999999999997</v>
      </c>
      <c r="E13" s="11">
        <f>175.649-SUM(B13:D13)</f>
        <v>45.474000000000018</v>
      </c>
      <c r="F13" s="11">
        <v>25.228000000000002</v>
      </c>
      <c r="G13" s="11">
        <v>23.834</v>
      </c>
      <c r="H13" s="11">
        <v>21.449000000000002</v>
      </c>
      <c r="I13" s="11">
        <f>34.302-SUM(H13)</f>
        <v>12.852999999999998</v>
      </c>
    </row>
    <row r="14" spans="1:9" x14ac:dyDescent="0.2">
      <c r="A14" s="4" t="s">
        <v>14</v>
      </c>
      <c r="B14" s="11">
        <f t="shared" ref="B14:I14" si="0">+B12-B13</f>
        <v>16.454999999999998</v>
      </c>
      <c r="C14" s="11">
        <f t="shared" si="0"/>
        <v>-3.8410000000000011</v>
      </c>
      <c r="D14" s="11">
        <f t="shared" si="0"/>
        <v>-13.939999999999998</v>
      </c>
      <c r="E14" s="11">
        <f t="shared" si="0"/>
        <v>-23.64100000000002</v>
      </c>
      <c r="F14" s="11">
        <f t="shared" si="0"/>
        <v>-6.2070000000000007</v>
      </c>
      <c r="G14" s="11">
        <f t="shared" si="0"/>
        <v>-4.6509999999999998</v>
      </c>
      <c r="H14" s="11">
        <f t="shared" si="0"/>
        <v>-4.4690000000000012</v>
      </c>
      <c r="I14" s="11">
        <f t="shared" si="0"/>
        <v>30.772000000000002</v>
      </c>
    </row>
    <row r="15" spans="1:9" x14ac:dyDescent="0.2">
      <c r="A15" s="4" t="s">
        <v>36</v>
      </c>
      <c r="B15" s="11">
        <v>18.594000000000001</v>
      </c>
      <c r="C15" s="11">
        <v>21.247</v>
      </c>
      <c r="D15" s="11">
        <v>25.683</v>
      </c>
      <c r="E15" s="11">
        <v>29.004000000000001</v>
      </c>
      <c r="F15" s="11">
        <v>11.036</v>
      </c>
      <c r="G15" s="11">
        <v>9.6690000000000005</v>
      </c>
      <c r="H15" s="11">
        <v>10.413</v>
      </c>
      <c r="I15" s="11">
        <f>10.62-SUM(H15)</f>
        <v>0.20699999999999896</v>
      </c>
    </row>
    <row r="16" spans="1:9" x14ac:dyDescent="0.2">
      <c r="A16" s="4" t="s">
        <v>23</v>
      </c>
      <c r="B16" s="11">
        <v>11.534000000000001</v>
      </c>
      <c r="C16" s="11">
        <v>12.278</v>
      </c>
      <c r="D16" s="11">
        <v>11.215999999999999</v>
      </c>
      <c r="E16" s="11">
        <f>49.821-SUM(B16:D16)</f>
        <v>14.792999999999999</v>
      </c>
      <c r="F16" s="11">
        <v>24.346</v>
      </c>
      <c r="G16" s="11">
        <v>12.539</v>
      </c>
      <c r="H16" s="11">
        <v>11.946</v>
      </c>
      <c r="I16" s="11">
        <f>37.551-SUM(H16)</f>
        <v>25.605000000000004</v>
      </c>
    </row>
    <row r="17" spans="1:9" s="7" customFormat="1" x14ac:dyDescent="0.2">
      <c r="A17" s="7" t="s">
        <v>24</v>
      </c>
      <c r="B17" s="10">
        <f t="shared" ref="B17:G17" si="1">+B14-SUM(B15:B16)</f>
        <v>-13.673000000000002</v>
      </c>
      <c r="C17" s="10">
        <f t="shared" si="1"/>
        <v>-37.366</v>
      </c>
      <c r="D17" s="10">
        <f t="shared" si="1"/>
        <v>-50.838999999999999</v>
      </c>
      <c r="E17" s="10">
        <f t="shared" si="1"/>
        <v>-67.438000000000017</v>
      </c>
      <c r="F17" s="10">
        <f t="shared" si="1"/>
        <v>-41.588999999999999</v>
      </c>
      <c r="G17" s="10">
        <f t="shared" si="1"/>
        <v>-26.858999999999998</v>
      </c>
      <c r="H17" s="10">
        <f>+H14-SUM(H15:H16)</f>
        <v>-26.828000000000003</v>
      </c>
      <c r="I17" s="10">
        <f>+I14-SUM(I15:I16)</f>
        <v>4.9599999999999973</v>
      </c>
    </row>
    <row r="18" spans="1:9" x14ac:dyDescent="0.2">
      <c r="A18" s="4" t="s">
        <v>25</v>
      </c>
      <c r="B18" s="11">
        <v>-0.71099999999999997</v>
      </c>
      <c r="C18" s="11">
        <v>2.7E-2</v>
      </c>
      <c r="D18" s="11">
        <v>-0.84399999999999997</v>
      </c>
      <c r="E18" s="11">
        <f>+-1.276-SUM(B18:D18)</f>
        <v>0.252</v>
      </c>
      <c r="F18" s="11">
        <v>-7.0000000000000001E-3</v>
      </c>
      <c r="G18" s="11">
        <v>0.29799999999999999</v>
      </c>
      <c r="H18" s="11">
        <v>-1.024</v>
      </c>
      <c r="I18" s="11">
        <f>1.002-SUM(H18)</f>
        <v>2.0259999999999998</v>
      </c>
    </row>
    <row r="19" spans="1:9" x14ac:dyDescent="0.2">
      <c r="A19" s="4" t="s">
        <v>26</v>
      </c>
      <c r="B19" s="11">
        <v>-1.845</v>
      </c>
      <c r="C19" s="11">
        <v>-1.5429999999999999</v>
      </c>
      <c r="D19" s="11">
        <v>-1.865</v>
      </c>
      <c r="E19" s="11">
        <f>+-7.592-SUM(B19:D19)</f>
        <v>-2.3389999999999995</v>
      </c>
      <c r="F19" s="11">
        <v>-1.4319999999999999</v>
      </c>
      <c r="G19" s="11">
        <v>-1.4370000000000001</v>
      </c>
      <c r="H19" s="11">
        <v>-2.4870000000000001</v>
      </c>
      <c r="I19" s="11">
        <f>+-11.703-SUM(H19)</f>
        <v>-9.2159999999999993</v>
      </c>
    </row>
    <row r="20" spans="1:9" x14ac:dyDescent="0.2">
      <c r="A20" s="4" t="s">
        <v>27</v>
      </c>
      <c r="B20" s="11">
        <v>0.55300000000000005</v>
      </c>
      <c r="C20" s="11">
        <v>0</v>
      </c>
      <c r="D20" s="11">
        <v>0</v>
      </c>
      <c r="E20" s="11">
        <f>0.922-SUM(B20:D20)</f>
        <v>0.36899999999999999</v>
      </c>
      <c r="F20" s="11">
        <v>0</v>
      </c>
      <c r="G20" s="11">
        <v>0</v>
      </c>
      <c r="H20" s="11">
        <v>0</v>
      </c>
      <c r="I20" s="11">
        <v>0</v>
      </c>
    </row>
    <row r="21" spans="1:9" x14ac:dyDescent="0.2">
      <c r="A21" s="4" t="s">
        <v>28</v>
      </c>
      <c r="B21" s="11">
        <f t="shared" ref="B21:I21" si="2">+B17+SUM(B18:B20)</f>
        <v>-15.676000000000002</v>
      </c>
      <c r="C21" s="11">
        <f t="shared" si="2"/>
        <v>-38.881999999999998</v>
      </c>
      <c r="D21" s="11">
        <f t="shared" si="2"/>
        <v>-53.548000000000002</v>
      </c>
      <c r="E21" s="11">
        <f t="shared" si="2"/>
        <v>-69.15600000000002</v>
      </c>
      <c r="F21" s="11">
        <f t="shared" si="2"/>
        <v>-43.027999999999999</v>
      </c>
      <c r="G21" s="11">
        <f t="shared" si="2"/>
        <v>-27.997999999999998</v>
      </c>
      <c r="H21" s="11">
        <f t="shared" si="2"/>
        <v>-30.339000000000002</v>
      </c>
      <c r="I21" s="11">
        <f t="shared" si="2"/>
        <v>-2.2300000000000022</v>
      </c>
    </row>
    <row r="22" spans="1:9" x14ac:dyDescent="0.2">
      <c r="A22" s="4" t="s">
        <v>29</v>
      </c>
      <c r="B22" s="11">
        <v>1.121</v>
      </c>
      <c r="C22" s="11">
        <v>8.4719999999999995</v>
      </c>
      <c r="D22" s="11">
        <v>0</v>
      </c>
      <c r="E22" s="11">
        <v>0</v>
      </c>
      <c r="F22" s="11">
        <v>1.0720000000000001</v>
      </c>
      <c r="G22" s="11">
        <v>-2.0550000000000002</v>
      </c>
      <c r="H22" s="11">
        <v>3.1269999999999998</v>
      </c>
      <c r="I22" s="11">
        <f>0.421-SUM(H22)</f>
        <v>-2.706</v>
      </c>
    </row>
    <row r="23" spans="1:9" s="7" customFormat="1" x14ac:dyDescent="0.2">
      <c r="A23" s="7" t="s">
        <v>30</v>
      </c>
      <c r="B23" s="10">
        <f t="shared" ref="B23:I23" si="3">+B21-B22</f>
        <v>-16.797000000000001</v>
      </c>
      <c r="C23" s="10">
        <f t="shared" si="3"/>
        <v>-47.353999999999999</v>
      </c>
      <c r="D23" s="10">
        <f t="shared" si="3"/>
        <v>-53.548000000000002</v>
      </c>
      <c r="E23" s="10">
        <f t="shared" si="3"/>
        <v>-69.15600000000002</v>
      </c>
      <c r="F23" s="10">
        <f t="shared" si="3"/>
        <v>-44.1</v>
      </c>
      <c r="G23" s="10">
        <f t="shared" si="3"/>
        <v>-25.942999999999998</v>
      </c>
      <c r="H23" s="10">
        <f t="shared" si="3"/>
        <v>-33.466000000000001</v>
      </c>
      <c r="I23" s="10">
        <f t="shared" si="3"/>
        <v>0.47599999999999776</v>
      </c>
    </row>
    <row r="24" spans="1:9" x14ac:dyDescent="0.2">
      <c r="A24" s="4" t="s">
        <v>31</v>
      </c>
      <c r="B24" s="11">
        <f t="shared" ref="B24:I24" si="4">+B23/B25</f>
        <v>-9.4275946948342279E-2</v>
      </c>
      <c r="C24" s="11">
        <f t="shared" si="4"/>
        <v>-0.26601356854578806</v>
      </c>
      <c r="D24" s="11">
        <f t="shared" si="4"/>
        <v>-0.27526845884418594</v>
      </c>
      <c r="E24" s="11">
        <f t="shared" si="4"/>
        <v>-0.35550282998111093</v>
      </c>
      <c r="F24" s="11">
        <f t="shared" si="4"/>
        <v>-0.19224272362271919</v>
      </c>
      <c r="G24" s="11">
        <f t="shared" si="4"/>
        <v>-0.11724072412477153</v>
      </c>
      <c r="H24" s="11">
        <f t="shared" si="4"/>
        <v>-0.15095775310196849</v>
      </c>
      <c r="I24" s="11">
        <f t="shared" si="4"/>
        <v>8.611860377137931E-3</v>
      </c>
    </row>
    <row r="25" spans="1:9" x14ac:dyDescent="0.2">
      <c r="A25" s="4" t="s">
        <v>2</v>
      </c>
      <c r="B25" s="11">
        <v>178.16845699999999</v>
      </c>
      <c r="C25" s="11">
        <v>178.013476</v>
      </c>
      <c r="D25" s="11">
        <v>194.53009700000001</v>
      </c>
      <c r="E25" s="11">
        <v>194.53009700000001</v>
      </c>
      <c r="F25" s="11">
        <v>229.39749900000001</v>
      </c>
      <c r="G25" s="11">
        <v>221.279766</v>
      </c>
      <c r="H25" s="11">
        <v>221.69116399999999</v>
      </c>
      <c r="I25" s="11">
        <v>55.27261</v>
      </c>
    </row>
    <row r="27" spans="1:9" s="9" customFormat="1" x14ac:dyDescent="0.2">
      <c r="A27" s="9" t="s">
        <v>32</v>
      </c>
      <c r="B27" s="9">
        <f t="shared" ref="B27:I27" si="5">+B14/B12</f>
        <v>0.30853317833236454</v>
      </c>
      <c r="C27" s="9">
        <f t="shared" si="5"/>
        <v>-8.7604059755958516E-2</v>
      </c>
      <c r="D27" s="9">
        <f t="shared" si="5"/>
        <v>-0.44015029522275895</v>
      </c>
      <c r="E27" s="9">
        <f t="shared" si="5"/>
        <v>-1.0828104245866359</v>
      </c>
      <c r="F27" s="9">
        <f t="shared" si="5"/>
        <v>-0.32632353714315759</v>
      </c>
      <c r="G27" s="9">
        <f t="shared" si="5"/>
        <v>-0.24245425637283011</v>
      </c>
      <c r="H27" s="9">
        <f t="shared" si="5"/>
        <v>-0.26319199057714965</v>
      </c>
      <c r="I27" s="9">
        <f t="shared" si="5"/>
        <v>0.70537535816618913</v>
      </c>
    </row>
    <row r="28" spans="1:9" s="9" customFormat="1" x14ac:dyDescent="0.2">
      <c r="A28" s="9" t="s">
        <v>33</v>
      </c>
      <c r="B28" s="9">
        <f t="shared" ref="B28:I28" si="6">+B17/B12</f>
        <v>-0.25637035231470201</v>
      </c>
      <c r="C28" s="9">
        <f t="shared" si="6"/>
        <v>-0.85222944463450789</v>
      </c>
      <c r="D28" s="9">
        <f t="shared" si="6"/>
        <v>-1.6052224432446087</v>
      </c>
      <c r="E28" s="9">
        <f t="shared" si="6"/>
        <v>-3.0888105161910877</v>
      </c>
      <c r="F28" s="9">
        <f t="shared" si="6"/>
        <v>-2.1864781031491507</v>
      </c>
      <c r="G28" s="9">
        <f t="shared" si="6"/>
        <v>-1.4001459625710264</v>
      </c>
      <c r="H28" s="9">
        <f t="shared" si="6"/>
        <v>-1.5799764428739695</v>
      </c>
      <c r="I28" s="9">
        <f t="shared" si="6"/>
        <v>0.11369627507163317</v>
      </c>
    </row>
    <row r="29" spans="1:9" s="9" customFormat="1" x14ac:dyDescent="0.2">
      <c r="A29" s="9" t="s">
        <v>34</v>
      </c>
      <c r="B29" s="9">
        <f t="shared" ref="B29:I29" si="7">+B23/B12</f>
        <v>-0.31494571841074009</v>
      </c>
      <c r="C29" s="9">
        <f t="shared" si="7"/>
        <v>-1.080031930664842</v>
      </c>
      <c r="D29" s="9">
        <f t="shared" si="7"/>
        <v>-1.6907581067853874</v>
      </c>
      <c r="E29" s="9">
        <f t="shared" si="7"/>
        <v>-3.1674987404387864</v>
      </c>
      <c r="F29" s="9">
        <f t="shared" si="7"/>
        <v>-2.318490089900636</v>
      </c>
      <c r="G29" s="9">
        <f t="shared" si="7"/>
        <v>-1.3523953500495229</v>
      </c>
      <c r="H29" s="9">
        <f t="shared" si="7"/>
        <v>-1.9709069493521791</v>
      </c>
      <c r="I29" s="9">
        <f t="shared" si="7"/>
        <v>1.0911174785100236E-2</v>
      </c>
    </row>
    <row r="30" spans="1:9" s="9" customFormat="1" x14ac:dyDescent="0.2">
      <c r="A30" s="9" t="s">
        <v>35</v>
      </c>
      <c r="B30" s="9">
        <f t="shared" ref="B30:I30" si="8">+B22/B21</f>
        <v>-7.1510589436080629E-2</v>
      </c>
      <c r="C30" s="9">
        <f t="shared" si="8"/>
        <v>-0.21789002623321846</v>
      </c>
      <c r="D30" s="9">
        <f t="shared" si="8"/>
        <v>0</v>
      </c>
      <c r="E30" s="9">
        <f t="shared" si="8"/>
        <v>0</v>
      </c>
      <c r="F30" s="9">
        <f t="shared" si="8"/>
        <v>-2.491400948219764E-2</v>
      </c>
      <c r="G30" s="9">
        <f t="shared" si="8"/>
        <v>7.3398099864276034E-2</v>
      </c>
      <c r="H30" s="9">
        <f t="shared" si="8"/>
        <v>-0.10306865750354328</v>
      </c>
      <c r="I30" s="9">
        <f t="shared" si="8"/>
        <v>1.2134529147982052</v>
      </c>
    </row>
    <row r="32" spans="1:9" s="9" customFormat="1" x14ac:dyDescent="0.2">
      <c r="A32" s="17" t="s">
        <v>46</v>
      </c>
      <c r="F32" s="9">
        <f t="shared" ref="F32:H32" si="9">+F12/B12-1</f>
        <v>-0.64335402096263095</v>
      </c>
      <c r="G32" s="9">
        <f t="shared" si="9"/>
        <v>-0.56248146881058281</v>
      </c>
      <c r="H32" s="9">
        <f t="shared" si="9"/>
        <v>-0.46386283982191912</v>
      </c>
      <c r="I32" s="9">
        <f>+I12/E12-1</f>
        <v>0.9981221087344847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2024-03-12T17:47:00Z</dcterms:created>
  <dcterms:modified xsi:type="dcterms:W3CDTF">2024-04-11T20:06:55Z</dcterms:modified>
</cp:coreProperties>
</file>