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enni\Desktop\CompanyResearchModels\Airliners\"/>
    </mc:Choice>
  </mc:AlternateContent>
  <xr:revisionPtr revIDLastSave="0" documentId="13_ncr:1_{48AEBAE6-AD6E-4C98-BA40-44A488F88DBB}" xr6:coauthVersionLast="47" xr6:coauthVersionMax="47" xr10:uidLastSave="{00000000-0000-0000-0000-000000000000}"/>
  <bookViews>
    <workbookView xWindow="390" yWindow="390" windowWidth="14220" windowHeight="15495" activeTab="1" xr2:uid="{00000000-000D-0000-FFFF-FFFF00000000}"/>
  </bookViews>
  <sheets>
    <sheet name="Main" sheetId="2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F4" i="3"/>
  <c r="J4" i="3"/>
  <c r="N4" i="3"/>
  <c r="Q4" i="3"/>
  <c r="S4" i="3"/>
  <c r="AD4" i="3"/>
  <c r="F5" i="3"/>
  <c r="J5" i="3"/>
  <c r="N5" i="3"/>
  <c r="S5" i="3"/>
  <c r="AD5" i="3"/>
  <c r="AE5" i="3" s="1"/>
  <c r="F6" i="3"/>
  <c r="F14" i="3" s="1"/>
  <c r="F15" i="3" s="1"/>
  <c r="J6" i="3"/>
  <c r="N6" i="3"/>
  <c r="N14" i="3" s="1"/>
  <c r="AD6" i="3"/>
  <c r="AD14" i="3" s="1"/>
  <c r="AE6" i="3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F7" i="3"/>
  <c r="J7" i="3"/>
  <c r="N7" i="3"/>
  <c r="S7" i="3"/>
  <c r="AD7" i="3"/>
  <c r="AE7" i="3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F8" i="3"/>
  <c r="J8" i="3"/>
  <c r="N8" i="3"/>
  <c r="S8" i="3"/>
  <c r="AD8" i="3"/>
  <c r="AE8" i="3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F9" i="3"/>
  <c r="J9" i="3"/>
  <c r="J14" i="3" s="1"/>
  <c r="J15" i="3" s="1"/>
  <c r="N9" i="3"/>
  <c r="S9" i="3"/>
  <c r="F10" i="3"/>
  <c r="J10" i="3"/>
  <c r="N10" i="3"/>
  <c r="S10" i="3"/>
  <c r="AD10" i="3"/>
  <c r="AE10" i="3"/>
  <c r="AF10" i="3" s="1"/>
  <c r="AG10" i="3" s="1"/>
  <c r="AH10" i="3" s="1"/>
  <c r="AI10" i="3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F11" i="3"/>
  <c r="J11" i="3"/>
  <c r="N11" i="3"/>
  <c r="S11" i="3"/>
  <c r="AD11" i="3"/>
  <c r="AE11" i="3"/>
  <c r="AF11" i="3"/>
  <c r="AG11" i="3" s="1"/>
  <c r="AH11" i="3" s="1"/>
  <c r="AI11" i="3" s="1"/>
  <c r="AJ11" i="3" s="1"/>
  <c r="AK11" i="3" s="1"/>
  <c r="AL11" i="3" s="1"/>
  <c r="AM11" i="3"/>
  <c r="AN11" i="3" s="1"/>
  <c r="AO11" i="3" s="1"/>
  <c r="AP11" i="3" s="1"/>
  <c r="AQ11" i="3" s="1"/>
  <c r="AR11" i="3" s="1"/>
  <c r="AS11" i="3" s="1"/>
  <c r="F12" i="3"/>
  <c r="J12" i="3"/>
  <c r="N12" i="3"/>
  <c r="AD12" i="3"/>
  <c r="AE12" i="3"/>
  <c r="AF12" i="3"/>
  <c r="AG12" i="3" s="1"/>
  <c r="AH12" i="3"/>
  <c r="AI12" i="3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F13" i="3"/>
  <c r="J13" i="3"/>
  <c r="N13" i="3"/>
  <c r="AD13" i="3"/>
  <c r="AE13" i="3" s="1"/>
  <c r="AF13" i="3" s="1"/>
  <c r="AG13" i="3" s="1"/>
  <c r="AH13" i="3" s="1"/>
  <c r="AI13" i="3" s="1"/>
  <c r="AJ13" i="3" s="1"/>
  <c r="AK13" i="3"/>
  <c r="AL13" i="3" s="1"/>
  <c r="AM13" i="3" s="1"/>
  <c r="AN13" i="3" s="1"/>
  <c r="AO13" i="3" s="1"/>
  <c r="AP13" i="3" s="1"/>
  <c r="AQ13" i="3" s="1"/>
  <c r="AR13" i="3" s="1"/>
  <c r="AS13" i="3" s="1"/>
  <c r="C14" i="3"/>
  <c r="D14" i="3"/>
  <c r="E14" i="3"/>
  <c r="G14" i="3"/>
  <c r="H14" i="3"/>
  <c r="H15" i="3" s="1"/>
  <c r="I14" i="3"/>
  <c r="I15" i="3" s="1"/>
  <c r="I18" i="3" s="1"/>
  <c r="K14" i="3"/>
  <c r="K15" i="3" s="1"/>
  <c r="K24" i="3" s="1"/>
  <c r="L14" i="3"/>
  <c r="M14" i="3"/>
  <c r="O14" i="3"/>
  <c r="P14" i="3"/>
  <c r="T14" i="3"/>
  <c r="U14" i="3"/>
  <c r="V14" i="3"/>
  <c r="W14" i="3"/>
  <c r="W15" i="3" s="1"/>
  <c r="W18" i="3" s="1"/>
  <c r="W20" i="3" s="1"/>
  <c r="X14" i="3"/>
  <c r="X15" i="3" s="1"/>
  <c r="X18" i="3" s="1"/>
  <c r="X20" i="3" s="1"/>
  <c r="X25" i="3" s="1"/>
  <c r="Y14" i="3"/>
  <c r="Y15" i="3" s="1"/>
  <c r="Z14" i="3"/>
  <c r="Z15" i="3" s="1"/>
  <c r="Z24" i="3" s="1"/>
  <c r="AA14" i="3"/>
  <c r="AB14" i="3"/>
  <c r="AC14" i="3"/>
  <c r="C15" i="3"/>
  <c r="C18" i="3" s="1"/>
  <c r="D15" i="3"/>
  <c r="E15" i="3"/>
  <c r="E18" i="3" s="1"/>
  <c r="G15" i="3"/>
  <c r="G18" i="3" s="1"/>
  <c r="G20" i="3" s="1"/>
  <c r="G25" i="3" s="1"/>
  <c r="L15" i="3"/>
  <c r="L24" i="3" s="1"/>
  <c r="M15" i="3"/>
  <c r="M24" i="3" s="1"/>
  <c r="N15" i="3"/>
  <c r="O15" i="3"/>
  <c r="O18" i="3" s="1"/>
  <c r="O20" i="3" s="1"/>
  <c r="P15" i="3"/>
  <c r="T15" i="3"/>
  <c r="T18" i="3" s="1"/>
  <c r="T26" i="3" s="1"/>
  <c r="U15" i="3"/>
  <c r="V15" i="3"/>
  <c r="V18" i="3" s="1"/>
  <c r="AA15" i="3"/>
  <c r="AA24" i="3" s="1"/>
  <c r="AB15" i="3"/>
  <c r="AB24" i="3" s="1"/>
  <c r="AC15" i="3"/>
  <c r="F16" i="3"/>
  <c r="J16" i="3"/>
  <c r="N16" i="3"/>
  <c r="F17" i="3"/>
  <c r="J17" i="3"/>
  <c r="N17" i="3"/>
  <c r="AD17" i="3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H18" i="3"/>
  <c r="H20" i="3" s="1"/>
  <c r="H25" i="3" s="1"/>
  <c r="K18" i="3"/>
  <c r="K20" i="3" s="1"/>
  <c r="L18" i="3"/>
  <c r="M18" i="3"/>
  <c r="M20" i="3" s="1"/>
  <c r="Y18" i="3"/>
  <c r="Z18" i="3"/>
  <c r="Z20" i="3" s="1"/>
  <c r="AA18" i="3"/>
  <c r="AA20" i="3" s="1"/>
  <c r="AB18" i="3"/>
  <c r="F19" i="3"/>
  <c r="J19" i="3"/>
  <c r="N19" i="3"/>
  <c r="C20" i="3"/>
  <c r="C21" i="3" s="1"/>
  <c r="E20" i="3"/>
  <c r="E21" i="3" s="1"/>
  <c r="T20" i="3"/>
  <c r="T21" i="3" s="1"/>
  <c r="AB20" i="3"/>
  <c r="AB21" i="3" s="1"/>
  <c r="G21" i="3"/>
  <c r="X21" i="3"/>
  <c r="F22" i="3"/>
  <c r="J22" i="3"/>
  <c r="N22" i="3"/>
  <c r="AD22" i="3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E24" i="3"/>
  <c r="G24" i="3"/>
  <c r="H24" i="3"/>
  <c r="I24" i="3"/>
  <c r="T24" i="3"/>
  <c r="V24" i="3"/>
  <c r="X24" i="3"/>
  <c r="Y24" i="3"/>
  <c r="C25" i="3"/>
  <c r="E25" i="3"/>
  <c r="X26" i="3"/>
  <c r="G28" i="3"/>
  <c r="H28" i="3"/>
  <c r="I28" i="3"/>
  <c r="J28" i="3"/>
  <c r="K28" i="3"/>
  <c r="L28" i="3"/>
  <c r="M28" i="3"/>
  <c r="N28" i="3"/>
  <c r="O28" i="3"/>
  <c r="P28" i="3"/>
  <c r="U28" i="3"/>
  <c r="V28" i="3"/>
  <c r="W28" i="3"/>
  <c r="X28" i="3"/>
  <c r="Y28" i="3"/>
  <c r="Z28" i="3"/>
  <c r="AA28" i="3"/>
  <c r="AB28" i="3"/>
  <c r="AC28" i="3"/>
  <c r="K30" i="3"/>
  <c r="K31" i="3"/>
  <c r="L31" i="3"/>
  <c r="M31" i="3"/>
  <c r="N31" i="3"/>
  <c r="O31" i="3"/>
  <c r="P31" i="3"/>
  <c r="K32" i="3"/>
  <c r="L32" i="3"/>
  <c r="M32" i="3"/>
  <c r="M41" i="3" s="1"/>
  <c r="N32" i="3"/>
  <c r="N41" i="3" s="1"/>
  <c r="O32" i="3"/>
  <c r="O41" i="3" s="1"/>
  <c r="P32" i="3"/>
  <c r="K41" i="3"/>
  <c r="K51" i="3" s="1"/>
  <c r="K43" i="3"/>
  <c r="K50" i="3" s="1"/>
  <c r="L43" i="3"/>
  <c r="L50" i="3" s="1"/>
  <c r="M43" i="3"/>
  <c r="N43" i="3"/>
  <c r="N50" i="3" s="1"/>
  <c r="N51" i="3" s="1"/>
  <c r="O43" i="3"/>
  <c r="O50" i="3" s="1"/>
  <c r="P43" i="3"/>
  <c r="M45" i="3"/>
  <c r="K46" i="3"/>
  <c r="L46" i="3"/>
  <c r="M46" i="3"/>
  <c r="N46" i="3"/>
  <c r="O46" i="3"/>
  <c r="P46" i="3"/>
  <c r="P50" i="3" s="1"/>
  <c r="K47" i="3"/>
  <c r="L47" i="3"/>
  <c r="M47" i="3"/>
  <c r="N47" i="3"/>
  <c r="N30" i="3" s="1"/>
  <c r="O47" i="3"/>
  <c r="O30" i="3" s="1"/>
  <c r="P47" i="3"/>
  <c r="O51" i="3"/>
  <c r="O52" i="3" s="1"/>
  <c r="K59" i="3"/>
  <c r="L60" i="3"/>
  <c r="M60" i="3"/>
  <c r="N60" i="3"/>
  <c r="P60" i="3"/>
  <c r="L61" i="3"/>
  <c r="M61" i="3"/>
  <c r="N61" i="3" s="1"/>
  <c r="P61" i="3"/>
  <c r="K62" i="3"/>
  <c r="K67" i="3" s="1"/>
  <c r="K71" i="3" s="1"/>
  <c r="L62" i="3"/>
  <c r="M62" i="3"/>
  <c r="N62" i="3"/>
  <c r="P62" i="3"/>
  <c r="P63" i="3"/>
  <c r="L64" i="3"/>
  <c r="M64" i="3"/>
  <c r="N64" i="3" s="1"/>
  <c r="P64" i="3"/>
  <c r="L65" i="3"/>
  <c r="M65" i="3" s="1"/>
  <c r="P65" i="3"/>
  <c r="L66" i="3"/>
  <c r="N66" i="3"/>
  <c r="P66" i="3"/>
  <c r="O67" i="3"/>
  <c r="O71" i="3" s="1"/>
  <c r="P67" i="3"/>
  <c r="P71" i="3" s="1"/>
  <c r="L69" i="3"/>
  <c r="M69" i="3"/>
  <c r="N69" i="3" s="1"/>
  <c r="P69" i="3"/>
  <c r="T82" i="3"/>
  <c r="U82" i="3"/>
  <c r="U83" i="3" s="1"/>
  <c r="V82" i="3"/>
  <c r="V83" i="3" s="1"/>
  <c r="W82" i="3"/>
  <c r="X83" i="3" s="1"/>
  <c r="X82" i="3"/>
  <c r="Y82" i="3"/>
  <c r="Z82" i="3"/>
  <c r="AA82" i="3"/>
  <c r="AA83" i="3" s="1"/>
  <c r="AB82" i="3"/>
  <c r="AB83" i="3" s="1"/>
  <c r="AC82" i="3"/>
  <c r="AC83" i="3" s="1"/>
  <c r="Y83" i="3"/>
  <c r="Z83" i="3"/>
  <c r="N5" i="2"/>
  <c r="N8" i="2" s="1"/>
  <c r="N7" i="2"/>
  <c r="F18" i="3" l="1"/>
  <c r="F20" i="3" s="1"/>
  <c r="F24" i="3"/>
  <c r="M21" i="3"/>
  <c r="M59" i="3"/>
  <c r="M25" i="3"/>
  <c r="N52" i="3"/>
  <c r="N54" i="3"/>
  <c r="W25" i="3"/>
  <c r="W21" i="3"/>
  <c r="K52" i="3"/>
  <c r="K54" i="3"/>
  <c r="O21" i="3"/>
  <c r="O59" i="3"/>
  <c r="O25" i="3"/>
  <c r="J24" i="3"/>
  <c r="J18" i="3"/>
  <c r="J20" i="3" s="1"/>
  <c r="U18" i="3"/>
  <c r="U24" i="3"/>
  <c r="M50" i="3"/>
  <c r="M51" i="3" s="1"/>
  <c r="L26" i="3"/>
  <c r="L20" i="3"/>
  <c r="M30" i="3"/>
  <c r="W24" i="3"/>
  <c r="K21" i="3"/>
  <c r="K25" i="3"/>
  <c r="P18" i="3"/>
  <c r="P24" i="3"/>
  <c r="AD28" i="3"/>
  <c r="R4" i="3"/>
  <c r="AE4" i="3"/>
  <c r="AD15" i="3"/>
  <c r="N18" i="3"/>
  <c r="N20" i="3" s="1"/>
  <c r="N24" i="3"/>
  <c r="AF5" i="3"/>
  <c r="AE14" i="3"/>
  <c r="L30" i="3"/>
  <c r="L41" i="3"/>
  <c r="L51" i="3" s="1"/>
  <c r="W83" i="3"/>
  <c r="N65" i="3"/>
  <c r="N67" i="3" s="1"/>
  <c r="N71" i="3" s="1"/>
  <c r="N72" i="3" s="1"/>
  <c r="AB25" i="3"/>
  <c r="H21" i="3"/>
  <c r="AA21" i="3"/>
  <c r="AA25" i="3"/>
  <c r="AC18" i="3"/>
  <c r="AC20" i="3" s="1"/>
  <c r="AC24" i="3"/>
  <c r="Z21" i="3"/>
  <c r="Z25" i="3"/>
  <c r="L67" i="3"/>
  <c r="L71" i="3" s="1"/>
  <c r="O54" i="3"/>
  <c r="T25" i="3"/>
  <c r="Y20" i="3"/>
  <c r="Y26" i="3"/>
  <c r="D18" i="3"/>
  <c r="D20" i="3" s="1"/>
  <c r="D24" i="3"/>
  <c r="I26" i="3"/>
  <c r="I20" i="3"/>
  <c r="M67" i="3"/>
  <c r="M71" i="3" s="1"/>
  <c r="P30" i="3"/>
  <c r="AC30" i="3" s="1"/>
  <c r="V20" i="3"/>
  <c r="V26" i="3"/>
  <c r="P41" i="3"/>
  <c r="P51" i="3" s="1"/>
  <c r="O24" i="3"/>
  <c r="C24" i="3"/>
  <c r="N21" i="3" l="1"/>
  <c r="N25" i="3"/>
  <c r="N59" i="3"/>
  <c r="AD24" i="3"/>
  <c r="O56" i="3"/>
  <c r="O57" i="3" s="1"/>
  <c r="L21" i="3"/>
  <c r="L25" i="3"/>
  <c r="L59" i="3"/>
  <c r="AF4" i="3"/>
  <c r="AE15" i="3"/>
  <c r="AE28" i="3"/>
  <c r="M52" i="3"/>
  <c r="M54" i="3"/>
  <c r="D21" i="3"/>
  <c r="D25" i="3"/>
  <c r="U26" i="3"/>
  <c r="U20" i="3"/>
  <c r="I25" i="3"/>
  <c r="I21" i="3"/>
  <c r="P54" i="3"/>
  <c r="P52" i="3"/>
  <c r="L52" i="3"/>
  <c r="L54" i="3"/>
  <c r="AC21" i="3"/>
  <c r="AC25" i="3"/>
  <c r="O72" i="3"/>
  <c r="P26" i="3"/>
  <c r="P20" i="3"/>
  <c r="V25" i="3"/>
  <c r="V21" i="3"/>
  <c r="N56" i="3"/>
  <c r="N57" i="3" s="1"/>
  <c r="P56" i="3"/>
  <c r="P57" i="3" s="1"/>
  <c r="J21" i="3"/>
  <c r="J25" i="3"/>
  <c r="AD16" i="3"/>
  <c r="AD18" i="3" s="1"/>
  <c r="AD20" i="3" s="1"/>
  <c r="AV27" i="3"/>
  <c r="AG5" i="3"/>
  <c r="AF14" i="3"/>
  <c r="Y21" i="3"/>
  <c r="Y25" i="3"/>
  <c r="P72" i="3"/>
  <c r="F21" i="3"/>
  <c r="F25" i="3"/>
  <c r="AD21" i="3" l="1"/>
  <c r="AD25" i="3"/>
  <c r="AD30" i="3"/>
  <c r="AF28" i="3"/>
  <c r="AG4" i="3"/>
  <c r="AF15" i="3"/>
  <c r="AE24" i="3"/>
  <c r="AG14" i="3"/>
  <c r="AH5" i="3"/>
  <c r="P25" i="3"/>
  <c r="P21" i="3"/>
  <c r="P59" i="3"/>
  <c r="U25" i="3"/>
  <c r="U21" i="3"/>
  <c r="AF24" i="3" l="1"/>
  <c r="AI5" i="3"/>
  <c r="AH14" i="3"/>
  <c r="AG28" i="3"/>
  <c r="AG15" i="3"/>
  <c r="AH4" i="3"/>
  <c r="AE16" i="3"/>
  <c r="AE18" i="3" s="1"/>
  <c r="AE20" i="3" s="1"/>
  <c r="AI4" i="3" l="1"/>
  <c r="AH28" i="3"/>
  <c r="AH15" i="3"/>
  <c r="AJ5" i="3"/>
  <c r="AI14" i="3"/>
  <c r="AE25" i="3"/>
  <c r="AE21" i="3"/>
  <c r="AG24" i="3"/>
  <c r="AE30" i="3"/>
  <c r="AH24" i="3" l="1"/>
  <c r="AF16" i="3"/>
  <c r="AF18" i="3" s="1"/>
  <c r="AF20" i="3" s="1"/>
  <c r="AK5" i="3"/>
  <c r="AJ14" i="3"/>
  <c r="AJ4" i="3"/>
  <c r="AI15" i="3"/>
  <c r="AI28" i="3"/>
  <c r="AK4" i="3" l="1"/>
  <c r="AJ15" i="3"/>
  <c r="AJ28" i="3"/>
  <c r="AF21" i="3"/>
  <c r="AF25" i="3"/>
  <c r="AI24" i="3"/>
  <c r="AL5" i="3"/>
  <c r="AK14" i="3"/>
  <c r="AF30" i="3"/>
  <c r="AM5" i="3" l="1"/>
  <c r="AL14" i="3"/>
  <c r="AG16" i="3"/>
  <c r="AG18" i="3" s="1"/>
  <c r="AG20" i="3" s="1"/>
  <c r="AG30" i="3"/>
  <c r="AJ24" i="3"/>
  <c r="AK28" i="3"/>
  <c r="AL4" i="3"/>
  <c r="AK15" i="3"/>
  <c r="AL28" i="3" l="1"/>
  <c r="AM4" i="3"/>
  <c r="AL15" i="3"/>
  <c r="AH16" i="3"/>
  <c r="AH18" i="3" s="1"/>
  <c r="AH20" i="3" s="1"/>
  <c r="AH30" i="3" s="1"/>
  <c r="AK24" i="3"/>
  <c r="AG25" i="3"/>
  <c r="AG21" i="3"/>
  <c r="AN5" i="3"/>
  <c r="AM14" i="3"/>
  <c r="AI16" i="3" l="1"/>
  <c r="AI18" i="3" s="1"/>
  <c r="AI20" i="3" s="1"/>
  <c r="AI30" i="3"/>
  <c r="AM28" i="3"/>
  <c r="AN4" i="3"/>
  <c r="AM15" i="3"/>
  <c r="AO5" i="3"/>
  <c r="AN14" i="3"/>
  <c r="AH25" i="3"/>
  <c r="AH21" i="3"/>
  <c r="AL24" i="3"/>
  <c r="AP5" i="3" l="1"/>
  <c r="AO14" i="3"/>
  <c r="AN28" i="3"/>
  <c r="AN15" i="3"/>
  <c r="AO4" i="3"/>
  <c r="AJ16" i="3"/>
  <c r="AJ18" i="3" s="1"/>
  <c r="AJ20" i="3" s="1"/>
  <c r="AM24" i="3"/>
  <c r="AI25" i="3"/>
  <c r="AI21" i="3"/>
  <c r="AJ25" i="3" l="1"/>
  <c r="AJ21" i="3"/>
  <c r="AJ30" i="3"/>
  <c r="AN24" i="3"/>
  <c r="AO28" i="3"/>
  <c r="AP4" i="3"/>
  <c r="AO15" i="3"/>
  <c r="AQ5" i="3"/>
  <c r="AP14" i="3"/>
  <c r="AR5" i="3" l="1"/>
  <c r="AQ14" i="3"/>
  <c r="AO24" i="3"/>
  <c r="AP28" i="3"/>
  <c r="AQ4" i="3"/>
  <c r="AP15" i="3"/>
  <c r="AK16" i="3"/>
  <c r="AK18" i="3" s="1"/>
  <c r="AK20" i="3" s="1"/>
  <c r="AK30" i="3" s="1"/>
  <c r="AL30" i="3" l="1"/>
  <c r="AL16" i="3"/>
  <c r="AL18" i="3" s="1"/>
  <c r="AL20" i="3" s="1"/>
  <c r="AR4" i="3"/>
  <c r="AQ28" i="3"/>
  <c r="AQ15" i="3"/>
  <c r="AK21" i="3"/>
  <c r="AK25" i="3"/>
  <c r="AS5" i="3"/>
  <c r="AS14" i="3" s="1"/>
  <c r="AR14" i="3"/>
  <c r="AP24" i="3"/>
  <c r="AM30" i="3" l="1"/>
  <c r="AM16" i="3"/>
  <c r="AM18" i="3" s="1"/>
  <c r="AM20" i="3" s="1"/>
  <c r="AQ24" i="3"/>
  <c r="AR28" i="3"/>
  <c r="AS4" i="3"/>
  <c r="AR15" i="3"/>
  <c r="AL21" i="3"/>
  <c r="AL25" i="3"/>
  <c r="AS28" i="3" l="1"/>
  <c r="AS15" i="3"/>
  <c r="AR24" i="3"/>
  <c r="AM25" i="3"/>
  <c r="AM21" i="3"/>
  <c r="AN16" i="3"/>
  <c r="AN18" i="3" s="1"/>
  <c r="AN20" i="3" s="1"/>
  <c r="AN30" i="3" s="1"/>
  <c r="AO16" i="3" l="1"/>
  <c r="AO18" i="3" s="1"/>
  <c r="AO20" i="3" s="1"/>
  <c r="AN21" i="3"/>
  <c r="AN25" i="3"/>
  <c r="AS24" i="3"/>
  <c r="AO21" i="3" l="1"/>
  <c r="AO25" i="3"/>
  <c r="AO30" i="3"/>
  <c r="AP16" i="3" l="1"/>
  <c r="AP18" i="3" s="1"/>
  <c r="AP20" i="3" s="1"/>
  <c r="AP30" i="3"/>
  <c r="AQ16" i="3" l="1"/>
  <c r="AQ18" i="3" s="1"/>
  <c r="AQ20" i="3" s="1"/>
  <c r="AQ30" i="3"/>
  <c r="AP21" i="3"/>
  <c r="AP25" i="3"/>
  <c r="AR16" i="3" l="1"/>
  <c r="AR18" i="3" s="1"/>
  <c r="AR20" i="3" s="1"/>
  <c r="AR30" i="3"/>
  <c r="AQ21" i="3"/>
  <c r="AQ25" i="3"/>
  <c r="AS16" i="3" l="1"/>
  <c r="AS18" i="3" s="1"/>
  <c r="AS20" i="3" s="1"/>
  <c r="AS30" i="3"/>
  <c r="AR21" i="3"/>
  <c r="AR25" i="3"/>
  <c r="AT20" i="3" l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CK20" i="3" s="1"/>
  <c r="CL20" i="3" s="1"/>
  <c r="CM20" i="3" s="1"/>
  <c r="CN20" i="3" s="1"/>
  <c r="CO20" i="3" s="1"/>
  <c r="CP20" i="3" s="1"/>
  <c r="CQ20" i="3" s="1"/>
  <c r="CR20" i="3" s="1"/>
  <c r="CS20" i="3" s="1"/>
  <c r="CT20" i="3" s="1"/>
  <c r="CU20" i="3" s="1"/>
  <c r="CV20" i="3" s="1"/>
  <c r="CW20" i="3" s="1"/>
  <c r="CX20" i="3" s="1"/>
  <c r="CY20" i="3" s="1"/>
  <c r="CZ20" i="3" s="1"/>
  <c r="DA20" i="3" s="1"/>
  <c r="DB20" i="3" s="1"/>
  <c r="DC20" i="3" s="1"/>
  <c r="DD20" i="3" s="1"/>
  <c r="DE20" i="3" s="1"/>
  <c r="DF20" i="3" s="1"/>
  <c r="DG20" i="3" s="1"/>
  <c r="DH20" i="3" s="1"/>
  <c r="DI20" i="3" s="1"/>
  <c r="DJ20" i="3" s="1"/>
  <c r="DK20" i="3" s="1"/>
  <c r="DL20" i="3" s="1"/>
  <c r="DM20" i="3" s="1"/>
  <c r="DN20" i="3" s="1"/>
  <c r="DO20" i="3" s="1"/>
  <c r="DP20" i="3" s="1"/>
  <c r="DQ20" i="3" s="1"/>
  <c r="DR20" i="3" s="1"/>
  <c r="DS20" i="3" s="1"/>
  <c r="DT20" i="3" s="1"/>
  <c r="DU20" i="3" s="1"/>
  <c r="DV20" i="3" s="1"/>
  <c r="DW20" i="3" s="1"/>
  <c r="DX20" i="3" s="1"/>
  <c r="DY20" i="3" s="1"/>
  <c r="DZ20" i="3" s="1"/>
  <c r="EA20" i="3" s="1"/>
  <c r="EB20" i="3" s="1"/>
  <c r="EC20" i="3" s="1"/>
  <c r="ED20" i="3" s="1"/>
  <c r="EE20" i="3" s="1"/>
  <c r="EF20" i="3" s="1"/>
  <c r="EG20" i="3" s="1"/>
  <c r="EH20" i="3" s="1"/>
  <c r="EI20" i="3" s="1"/>
  <c r="EJ20" i="3" s="1"/>
  <c r="EK20" i="3" s="1"/>
  <c r="EL20" i="3" s="1"/>
  <c r="EM20" i="3" s="1"/>
  <c r="EN20" i="3" s="1"/>
  <c r="EO20" i="3" s="1"/>
  <c r="EP20" i="3" s="1"/>
  <c r="AV26" i="3" s="1"/>
  <c r="AV28" i="3" s="1"/>
  <c r="AV29" i="3" s="1"/>
  <c r="AV31" i="3" s="1"/>
  <c r="AS25" i="3"/>
  <c r="AS21" i="3"/>
</calcChain>
</file>

<file path=xl/sharedStrings.xml><?xml version="1.0" encoding="utf-8"?>
<sst xmlns="http://schemas.openxmlformats.org/spreadsheetml/2006/main" count="119" uniqueCount="94">
  <si>
    <t>EV</t>
  </si>
  <si>
    <t>Debt</t>
  </si>
  <si>
    <t>Cash</t>
  </si>
  <si>
    <t>MC</t>
  </si>
  <si>
    <t>S/O</t>
  </si>
  <si>
    <t>Price</t>
  </si>
  <si>
    <t>y/y</t>
  </si>
  <si>
    <t>Workforce</t>
  </si>
  <si>
    <t>Management and other personnel</t>
  </si>
  <si>
    <t>Reservation agents</t>
  </si>
  <si>
    <t>Technicians</t>
  </si>
  <si>
    <t>Airport operations</t>
  </si>
  <si>
    <t>Inflight</t>
  </si>
  <si>
    <t>Pilots</t>
  </si>
  <si>
    <t>Crewmember Group</t>
  </si>
  <si>
    <t>TTM FCF</t>
  </si>
  <si>
    <t>FCF</t>
  </si>
  <si>
    <t>CapEx</t>
  </si>
  <si>
    <t>CFFO</t>
  </si>
  <si>
    <t>Other</t>
  </si>
  <si>
    <t>Working capital</t>
  </si>
  <si>
    <t>SBC</t>
  </si>
  <si>
    <t>Special items</t>
  </si>
  <si>
    <t>D&amp;A</t>
  </si>
  <si>
    <t>DT</t>
  </si>
  <si>
    <t>Reported NI</t>
  </si>
  <si>
    <t>Model NI</t>
  </si>
  <si>
    <t>Tangible bookvalue return</t>
  </si>
  <si>
    <t>TTM NI</t>
  </si>
  <si>
    <t>Bookvalue/Shares</t>
  </si>
  <si>
    <t>L+S/E</t>
  </si>
  <si>
    <t>S/E</t>
  </si>
  <si>
    <t>Liabilties</t>
  </si>
  <si>
    <t>Taxes</t>
  </si>
  <si>
    <t>Lease</t>
  </si>
  <si>
    <t>Other accrued</t>
  </si>
  <si>
    <t>Accrued salaries</t>
  </si>
  <si>
    <t>Air traffic</t>
  </si>
  <si>
    <t>A/P</t>
  </si>
  <si>
    <t>Assets</t>
  </si>
  <si>
    <t>Intangibles</t>
  </si>
  <si>
    <t>Property equipment</t>
  </si>
  <si>
    <t>Flight equipment</t>
  </si>
  <si>
    <t>Prepaid</t>
  </si>
  <si>
    <t>Inventories</t>
  </si>
  <si>
    <t>A/R</t>
  </si>
  <si>
    <t>Investment</t>
  </si>
  <si>
    <t>Upside</t>
  </si>
  <si>
    <t>Current price</t>
  </si>
  <si>
    <t>Net cash</t>
  </si>
  <si>
    <t>Per share</t>
  </si>
  <si>
    <t>Total value</t>
  </si>
  <si>
    <t>Revenue y/y</t>
  </si>
  <si>
    <t>NPV</t>
  </si>
  <si>
    <t>N/A</t>
  </si>
  <si>
    <t>Tax rate</t>
  </si>
  <si>
    <t>Discount value</t>
  </si>
  <si>
    <t>Net margin</t>
  </si>
  <si>
    <t>Terminal value</t>
  </si>
  <si>
    <t>Operating margin</t>
  </si>
  <si>
    <t>Shares</t>
  </si>
  <si>
    <t>EPS</t>
  </si>
  <si>
    <t>Net income</t>
  </si>
  <si>
    <t>Pretax</t>
  </si>
  <si>
    <t>Interest income</t>
  </si>
  <si>
    <t>Interest expense</t>
  </si>
  <si>
    <t>OpInc</t>
  </si>
  <si>
    <t>OpEx</t>
  </si>
  <si>
    <t>Maintenance</t>
  </si>
  <si>
    <t>S&amp;M</t>
  </si>
  <si>
    <t>Aircraft rent</t>
  </si>
  <si>
    <t>Landing fees</t>
  </si>
  <si>
    <t>Salaries</t>
  </si>
  <si>
    <t>Aircraft fuel</t>
  </si>
  <si>
    <t>Revenue</t>
  </si>
  <si>
    <t>Q424</t>
  </si>
  <si>
    <t>Q324</t>
  </si>
  <si>
    <t>Q224</t>
  </si>
  <si>
    <t>Q124</t>
  </si>
  <si>
    <t>Q423</t>
  </si>
  <si>
    <t>Q323</t>
  </si>
  <si>
    <t>Q223</t>
  </si>
  <si>
    <t>Q123</t>
  </si>
  <si>
    <t>Q422</t>
  </si>
  <si>
    <t>Q322</t>
  </si>
  <si>
    <t>Q222</t>
  </si>
  <si>
    <t>Q122</t>
  </si>
  <si>
    <t>Q421</t>
  </si>
  <si>
    <t>Q321</t>
  </si>
  <si>
    <t>Q221</t>
  </si>
  <si>
    <t>Q121</t>
  </si>
  <si>
    <t>(in millions $)</t>
  </si>
  <si>
    <t>(JBLU)</t>
  </si>
  <si>
    <t>JetBlue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</si>
</sst>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/mm/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2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3" fontId="1" fillId="0" borderId="0" xfId="1" applyNumberFormat="1"/>
    <xf numFmtId="164" fontId="1" fillId="0" borderId="0" xfId="1" applyNumberFormat="1"/>
    <xf numFmtId="9" fontId="1" fillId="0" borderId="0" xfId="1" applyNumberFormat="1"/>
    <xf numFmtId="9" fontId="1" fillId="0" borderId="0" xfId="1" applyNumberFormat="1" applyAlignment="1">
      <alignment horizontal="left"/>
    </xf>
    <xf numFmtId="3" fontId="2" fillId="0" borderId="0" xfId="1" applyNumberFormat="1" applyFont="1"/>
    <xf numFmtId="4" fontId="1" fillId="0" borderId="0" xfId="1" applyNumberFormat="1"/>
    <xf numFmtId="9" fontId="2" fillId="0" borderId="0" xfId="1" applyNumberFormat="1" applyFont="1"/>
    <xf numFmtId="9" fontId="1" fillId="0" borderId="0" xfId="1" applyNumberFormat="1" applyAlignment="1">
      <alignment horizontal="right"/>
    </xf>
    <xf numFmtId="9" fontId="1" fillId="2" borderId="0" xfId="1" applyNumberFormat="1" applyFill="1"/>
    <xf numFmtId="0" fontId="1" fillId="0" borderId="0" xfId="1" applyAlignment="1">
      <alignment horizontal="right"/>
    </xf>
    <xf numFmtId="165" fontId="1" fillId="0" borderId="0" xfId="1" applyNumberFormat="1"/>
    <xf numFmtId="165" fontId="1" fillId="0" borderId="0" xfId="1" applyNumberFormat="1" applyAlignment="1">
      <alignment horizontal="left"/>
    </xf>
    <xf numFmtId="3" fontId="3" fillId="0" borderId="0" xfId="1" applyNumberFormat="1" applyFont="1"/>
  </cellXfs>
  <cellStyles count="2">
    <cellStyle name="Normal" xfId="0" builtinId="0"/>
    <cellStyle name="Normal 2" xfId="1" xr:uid="{A0CF3ED9-7505-40E5-8D1A-3A0E7CC055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28575</xdr:colOff>
      <xdr:row>1</xdr:row>
      <xdr:rowOff>47625</xdr:rowOff>
    </xdr:from>
    <xdr:to>
      <xdr:col>29</xdr:col>
      <xdr:colOff>28575</xdr:colOff>
      <xdr:row>86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18A2989-D1ED-4C9C-A375-0D5C6F18B101}"/>
            </a:ext>
          </a:extLst>
        </xdr:cNvPr>
        <xdr:cNvCxnSpPr/>
      </xdr:nvCxnSpPr>
      <xdr:spPr>
        <a:xfrm>
          <a:off x="17706975" y="209550"/>
          <a:ext cx="0" cy="13735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1</xdr:row>
      <xdr:rowOff>47625</xdr:rowOff>
    </xdr:from>
    <xdr:to>
      <xdr:col>16</xdr:col>
      <xdr:colOff>28575</xdr:colOff>
      <xdr:row>74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D9D43A9-B5D5-42E2-B1D9-B76B0156B4A7}"/>
            </a:ext>
          </a:extLst>
        </xdr:cNvPr>
        <xdr:cNvCxnSpPr/>
      </xdr:nvCxnSpPr>
      <xdr:spPr>
        <a:xfrm>
          <a:off x="9782175" y="209550"/>
          <a:ext cx="0" cy="119157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E6D1-BE41-41A2-837C-97F6CB1E65B8}">
  <dimension ref="M3:N8"/>
  <sheetViews>
    <sheetView workbookViewId="0">
      <selection activeCell="H26" sqref="H26"/>
    </sheetView>
  </sheetViews>
  <sheetFormatPr defaultRowHeight="12.75" x14ac:dyDescent="0.2"/>
  <cols>
    <col min="1" max="1" width="2.7109375" style="1" customWidth="1"/>
    <col min="2" max="16384" width="9.140625" style="1"/>
  </cols>
  <sheetData>
    <row r="3" spans="13:14" x14ac:dyDescent="0.2">
      <c r="M3" s="3" t="s">
        <v>5</v>
      </c>
      <c r="N3" s="3">
        <v>5.3</v>
      </c>
    </row>
    <row r="4" spans="13:14" x14ac:dyDescent="0.2">
      <c r="M4" s="2" t="s">
        <v>4</v>
      </c>
      <c r="N4" s="2">
        <v>347</v>
      </c>
    </row>
    <row r="5" spans="13:14" x14ac:dyDescent="0.2">
      <c r="M5" s="2" t="s">
        <v>3</v>
      </c>
      <c r="N5" s="2">
        <f>+N3*N4</f>
        <v>1839.1</v>
      </c>
    </row>
    <row r="6" spans="13:14" x14ac:dyDescent="0.2">
      <c r="M6" s="2" t="s">
        <v>2</v>
      </c>
      <c r="N6" s="2">
        <v>1312</v>
      </c>
    </row>
    <row r="7" spans="13:14" x14ac:dyDescent="0.2">
      <c r="M7" s="2" t="s">
        <v>1</v>
      </c>
      <c r="N7" s="2">
        <f>5016+532</f>
        <v>5548</v>
      </c>
    </row>
    <row r="8" spans="13:14" x14ac:dyDescent="0.2">
      <c r="M8" s="2" t="s">
        <v>0</v>
      </c>
      <c r="N8" s="2">
        <f>+N5-N6+N7</f>
        <v>6075.1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5681-8EFC-41A0-89E6-EAF45D3397E5}">
  <dimension ref="B1:EP83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E36" sqref="E36"/>
    </sheetView>
  </sheetViews>
  <sheetFormatPr defaultRowHeight="12.75" x14ac:dyDescent="0.2"/>
  <cols>
    <col min="1" max="1" width="2.42578125" style="2" customWidth="1"/>
    <col min="2" max="2" width="22.28515625" style="2" bestFit="1" customWidth="1"/>
    <col min="3" max="46" width="9.140625" style="2"/>
    <col min="47" max="47" width="13.140625" style="2" bestFit="1" customWidth="1"/>
    <col min="48" max="48" width="11.28515625" style="2" bestFit="1" customWidth="1"/>
    <col min="49" max="16384" width="9.140625" style="2"/>
  </cols>
  <sheetData>
    <row r="1" spans="2:45" ht="30" x14ac:dyDescent="0.4">
      <c r="B1" s="14" t="s">
        <v>93</v>
      </c>
    </row>
    <row r="2" spans="2:45" s="12" customFormat="1" x14ac:dyDescent="0.2">
      <c r="B2" s="13" t="s">
        <v>92</v>
      </c>
      <c r="C2" s="12">
        <v>44286</v>
      </c>
      <c r="D2" s="12">
        <v>44377</v>
      </c>
      <c r="E2" s="12">
        <v>44469</v>
      </c>
      <c r="F2" s="12">
        <v>44561</v>
      </c>
      <c r="G2" s="12">
        <v>44651</v>
      </c>
      <c r="H2" s="12">
        <v>44742</v>
      </c>
      <c r="I2" s="12">
        <v>44834</v>
      </c>
      <c r="J2" s="12">
        <v>44926</v>
      </c>
      <c r="K2" s="12">
        <v>45016</v>
      </c>
      <c r="L2" s="12">
        <v>45107</v>
      </c>
      <c r="M2" s="12">
        <v>45199</v>
      </c>
      <c r="N2" s="12">
        <v>45291</v>
      </c>
      <c r="O2" s="12">
        <v>45382</v>
      </c>
      <c r="P2" s="12">
        <v>45473</v>
      </c>
    </row>
    <row r="3" spans="2:45" s="1" customFormat="1" x14ac:dyDescent="0.2">
      <c r="B3" s="11" t="s">
        <v>91</v>
      </c>
      <c r="C3" s="11" t="s">
        <v>90</v>
      </c>
      <c r="D3" s="11" t="s">
        <v>89</v>
      </c>
      <c r="E3" s="11" t="s">
        <v>88</v>
      </c>
      <c r="F3" s="11" t="s">
        <v>87</v>
      </c>
      <c r="G3" s="11" t="s">
        <v>86</v>
      </c>
      <c r="H3" s="11" t="s">
        <v>85</v>
      </c>
      <c r="I3" s="11" t="s">
        <v>84</v>
      </c>
      <c r="J3" s="11" t="s">
        <v>83</v>
      </c>
      <c r="K3" s="11" t="s">
        <v>82</v>
      </c>
      <c r="L3" s="11" t="s">
        <v>81</v>
      </c>
      <c r="M3" s="11" t="s">
        <v>80</v>
      </c>
      <c r="N3" s="11" t="s">
        <v>79</v>
      </c>
      <c r="O3" s="11" t="s">
        <v>78</v>
      </c>
      <c r="P3" s="11" t="s">
        <v>77</v>
      </c>
      <c r="Q3" s="11" t="s">
        <v>76</v>
      </c>
      <c r="R3" s="11" t="s">
        <v>75</v>
      </c>
      <c r="T3" s="1">
        <v>2014</v>
      </c>
      <c r="U3" s="1">
        <f t="shared" ref="U3:AS3" si="0">+T3+1</f>
        <v>2015</v>
      </c>
      <c r="V3" s="1">
        <f t="shared" si="0"/>
        <v>2016</v>
      </c>
      <c r="W3" s="1">
        <f t="shared" si="0"/>
        <v>2017</v>
      </c>
      <c r="X3" s="1">
        <f t="shared" si="0"/>
        <v>2018</v>
      </c>
      <c r="Y3" s="1">
        <f t="shared" si="0"/>
        <v>2019</v>
      </c>
      <c r="Z3" s="1">
        <f t="shared" si="0"/>
        <v>2020</v>
      </c>
      <c r="AA3" s="1">
        <f t="shared" si="0"/>
        <v>2021</v>
      </c>
      <c r="AB3" s="1">
        <f t="shared" si="0"/>
        <v>2022</v>
      </c>
      <c r="AC3" s="1">
        <f t="shared" si="0"/>
        <v>2023</v>
      </c>
      <c r="AD3" s="1">
        <f t="shared" si="0"/>
        <v>2024</v>
      </c>
      <c r="AE3" s="1">
        <f t="shared" si="0"/>
        <v>2025</v>
      </c>
      <c r="AF3" s="1">
        <f t="shared" si="0"/>
        <v>2026</v>
      </c>
      <c r="AG3" s="1">
        <f t="shared" si="0"/>
        <v>2027</v>
      </c>
      <c r="AH3" s="1">
        <f t="shared" si="0"/>
        <v>2028</v>
      </c>
      <c r="AI3" s="1">
        <f t="shared" si="0"/>
        <v>2029</v>
      </c>
      <c r="AJ3" s="1">
        <f t="shared" si="0"/>
        <v>2030</v>
      </c>
      <c r="AK3" s="1">
        <f t="shared" si="0"/>
        <v>2031</v>
      </c>
      <c r="AL3" s="1">
        <f t="shared" si="0"/>
        <v>2032</v>
      </c>
      <c r="AM3" s="1">
        <f t="shared" si="0"/>
        <v>2033</v>
      </c>
      <c r="AN3" s="1">
        <f t="shared" si="0"/>
        <v>2034</v>
      </c>
      <c r="AO3" s="1">
        <f t="shared" si="0"/>
        <v>2035</v>
      </c>
      <c r="AP3" s="1">
        <f t="shared" si="0"/>
        <v>2036</v>
      </c>
      <c r="AQ3" s="1">
        <f t="shared" si="0"/>
        <v>2037</v>
      </c>
      <c r="AR3" s="1">
        <f t="shared" si="0"/>
        <v>2038</v>
      </c>
      <c r="AS3" s="1">
        <f t="shared" si="0"/>
        <v>2039</v>
      </c>
    </row>
    <row r="4" spans="2:45" s="6" customFormat="1" x14ac:dyDescent="0.2">
      <c r="B4" s="6" t="s">
        <v>74</v>
      </c>
      <c r="C4" s="6">
        <v>733</v>
      </c>
      <c r="D4" s="6">
        <v>2445</v>
      </c>
      <c r="E4" s="6">
        <v>1972</v>
      </c>
      <c r="F4" s="6">
        <f t="shared" ref="F4:F13" si="1">+AA4-SUM(C4:E4)</f>
        <v>887</v>
      </c>
      <c r="G4" s="6">
        <v>1736</v>
      </c>
      <c r="H4" s="6">
        <v>2445</v>
      </c>
      <c r="I4" s="6">
        <v>2562</v>
      </c>
      <c r="J4" s="6">
        <f t="shared" ref="J4:J13" si="2">+AB4-SUM(G4:I4)</f>
        <v>2415</v>
      </c>
      <c r="K4" s="6">
        <v>2328</v>
      </c>
      <c r="L4" s="6">
        <v>2610</v>
      </c>
      <c r="M4" s="6">
        <v>2353</v>
      </c>
      <c r="N4" s="6">
        <f t="shared" ref="N4:N13" si="3">+AC4-SUM(K4:M4)</f>
        <v>2324</v>
      </c>
      <c r="O4" s="6">
        <v>2209</v>
      </c>
      <c r="P4" s="6">
        <v>2428</v>
      </c>
      <c r="Q4" s="6">
        <f>+P4*0.965</f>
        <v>2343.02</v>
      </c>
      <c r="R4" s="6">
        <f>+AD4-SUM(O4:Q4)</f>
        <v>3115.7299999999996</v>
      </c>
      <c r="S4" s="4">
        <f>(AC4/T4)^(1/10)-1</f>
        <v>5.1538123087076837E-2</v>
      </c>
      <c r="T4" s="6">
        <v>5817</v>
      </c>
      <c r="U4" s="6">
        <v>6416</v>
      </c>
      <c r="V4" s="6">
        <v>6584</v>
      </c>
      <c r="W4" s="6">
        <v>7012</v>
      </c>
      <c r="X4" s="6">
        <v>7658</v>
      </c>
      <c r="Y4" s="6">
        <v>8094</v>
      </c>
      <c r="Z4" s="6">
        <v>2957</v>
      </c>
      <c r="AA4" s="6">
        <v>6037</v>
      </c>
      <c r="AB4" s="6">
        <v>9158</v>
      </c>
      <c r="AC4" s="6">
        <v>9615</v>
      </c>
      <c r="AD4" s="6">
        <f t="shared" ref="AD4:AS4" si="4">+AC4*1.05</f>
        <v>10095.75</v>
      </c>
      <c r="AE4" s="6">
        <f t="shared" si="4"/>
        <v>10600.5375</v>
      </c>
      <c r="AF4" s="6">
        <f t="shared" si="4"/>
        <v>11130.564375000002</v>
      </c>
      <c r="AG4" s="6">
        <f t="shared" si="4"/>
        <v>11687.092593750001</v>
      </c>
      <c r="AH4" s="6">
        <f t="shared" si="4"/>
        <v>12271.447223437503</v>
      </c>
      <c r="AI4" s="6">
        <f t="shared" si="4"/>
        <v>12885.019584609377</v>
      </c>
      <c r="AJ4" s="6">
        <f t="shared" si="4"/>
        <v>13529.270563839847</v>
      </c>
      <c r="AK4" s="6">
        <f t="shared" si="4"/>
        <v>14205.73409203184</v>
      </c>
      <c r="AL4" s="6">
        <f t="shared" si="4"/>
        <v>14916.020796633433</v>
      </c>
      <c r="AM4" s="6">
        <f t="shared" si="4"/>
        <v>15661.821836465106</v>
      </c>
      <c r="AN4" s="6">
        <f t="shared" si="4"/>
        <v>16444.912928288362</v>
      </c>
      <c r="AO4" s="6">
        <f t="shared" si="4"/>
        <v>17267.158574702782</v>
      </c>
      <c r="AP4" s="6">
        <f t="shared" si="4"/>
        <v>18130.516503437921</v>
      </c>
      <c r="AQ4" s="6">
        <f t="shared" si="4"/>
        <v>19037.042328609816</v>
      </c>
      <c r="AR4" s="6">
        <f t="shared" si="4"/>
        <v>19988.894445040307</v>
      </c>
      <c r="AS4" s="6">
        <f t="shared" si="4"/>
        <v>20988.339167292324</v>
      </c>
    </row>
    <row r="5" spans="2:45" x14ac:dyDescent="0.2">
      <c r="B5" s="2" t="s">
        <v>73</v>
      </c>
      <c r="C5" s="2">
        <v>193</v>
      </c>
      <c r="D5" s="2">
        <v>910</v>
      </c>
      <c r="E5" s="2">
        <v>443</v>
      </c>
      <c r="F5" s="2">
        <f t="shared" si="1"/>
        <v>-110</v>
      </c>
      <c r="G5" s="2">
        <v>571</v>
      </c>
      <c r="H5" s="2">
        <v>910</v>
      </c>
      <c r="I5" s="2">
        <v>825</v>
      </c>
      <c r="J5" s="2">
        <f t="shared" si="2"/>
        <v>799</v>
      </c>
      <c r="K5" s="2">
        <v>785</v>
      </c>
      <c r="L5" s="2">
        <v>621</v>
      </c>
      <c r="M5" s="2">
        <v>678</v>
      </c>
      <c r="N5" s="2">
        <f t="shared" si="3"/>
        <v>636</v>
      </c>
      <c r="O5" s="2">
        <v>625</v>
      </c>
      <c r="P5" s="2">
        <v>626</v>
      </c>
      <c r="S5" s="4">
        <f>(AC5/T5)^(1/10)-1</f>
        <v>3.5876788316254959E-2</v>
      </c>
      <c r="T5" s="2">
        <v>1912</v>
      </c>
      <c r="U5" s="2">
        <v>1348</v>
      </c>
      <c r="V5" s="2">
        <v>1074</v>
      </c>
      <c r="W5" s="2">
        <v>1363</v>
      </c>
      <c r="X5" s="2">
        <v>1899</v>
      </c>
      <c r="Y5" s="2">
        <v>1847</v>
      </c>
      <c r="Z5" s="2">
        <v>631</v>
      </c>
      <c r="AA5" s="2">
        <v>1436</v>
      </c>
      <c r="AB5" s="2">
        <v>3105</v>
      </c>
      <c r="AC5" s="2">
        <v>2720</v>
      </c>
      <c r="AD5" s="2">
        <f t="shared" ref="AD5:AS5" si="5">+AC5*1.04</f>
        <v>2828.8</v>
      </c>
      <c r="AE5" s="2">
        <f t="shared" si="5"/>
        <v>2941.9520000000002</v>
      </c>
      <c r="AF5" s="2">
        <f t="shared" si="5"/>
        <v>3059.6300800000004</v>
      </c>
      <c r="AG5" s="2">
        <f t="shared" si="5"/>
        <v>3182.0152832000003</v>
      </c>
      <c r="AH5" s="2">
        <f t="shared" si="5"/>
        <v>3309.2958945280006</v>
      </c>
      <c r="AI5" s="2">
        <f t="shared" si="5"/>
        <v>3441.667730309121</v>
      </c>
      <c r="AJ5" s="2">
        <f t="shared" si="5"/>
        <v>3579.3344395214858</v>
      </c>
      <c r="AK5" s="2">
        <f t="shared" si="5"/>
        <v>3722.5078171023456</v>
      </c>
      <c r="AL5" s="2">
        <f t="shared" si="5"/>
        <v>3871.4081297864395</v>
      </c>
      <c r="AM5" s="2">
        <f t="shared" si="5"/>
        <v>4026.2644549778975</v>
      </c>
      <c r="AN5" s="2">
        <f t="shared" si="5"/>
        <v>4187.3150331770139</v>
      </c>
      <c r="AO5" s="2">
        <f t="shared" si="5"/>
        <v>4354.8076345040945</v>
      </c>
      <c r="AP5" s="2">
        <f t="shared" si="5"/>
        <v>4528.9999398842583</v>
      </c>
      <c r="AQ5" s="2">
        <f t="shared" si="5"/>
        <v>4710.1599374796288</v>
      </c>
      <c r="AR5" s="2">
        <f t="shared" si="5"/>
        <v>4898.5663349788138</v>
      </c>
      <c r="AS5" s="2">
        <f t="shared" si="5"/>
        <v>5094.5089883779665</v>
      </c>
    </row>
    <row r="6" spans="2:45" x14ac:dyDescent="0.2">
      <c r="B6" s="2" t="s">
        <v>72</v>
      </c>
      <c r="C6" s="2">
        <v>521</v>
      </c>
      <c r="D6" s="2">
        <v>695</v>
      </c>
      <c r="E6" s="2">
        <v>620</v>
      </c>
      <c r="F6" s="2">
        <f t="shared" si="1"/>
        <v>522</v>
      </c>
      <c r="G6" s="2">
        <v>688</v>
      </c>
      <c r="H6" s="2">
        <v>695</v>
      </c>
      <c r="I6" s="2">
        <v>675</v>
      </c>
      <c r="J6" s="2">
        <f t="shared" si="2"/>
        <v>689</v>
      </c>
      <c r="K6" s="2">
        <v>741</v>
      </c>
      <c r="L6" s="2">
        <v>772</v>
      </c>
      <c r="M6" s="2">
        <v>790</v>
      </c>
      <c r="N6" s="2">
        <f t="shared" si="3"/>
        <v>752</v>
      </c>
      <c r="O6" s="2">
        <v>823</v>
      </c>
      <c r="P6" s="2">
        <v>784</v>
      </c>
      <c r="S6" s="10">
        <v>0.05</v>
      </c>
      <c r="T6" s="2">
        <v>1294</v>
      </c>
      <c r="U6" s="2">
        <v>1540</v>
      </c>
      <c r="V6" s="2">
        <v>1698</v>
      </c>
      <c r="W6" s="2">
        <v>1887</v>
      </c>
      <c r="X6" s="2">
        <v>2044</v>
      </c>
      <c r="Y6" s="2">
        <v>2320</v>
      </c>
      <c r="Z6" s="2">
        <v>2032</v>
      </c>
      <c r="AA6" s="2">
        <v>2358</v>
      </c>
      <c r="AB6" s="2">
        <v>2747</v>
      </c>
      <c r="AC6" s="2">
        <v>3055</v>
      </c>
      <c r="AD6" s="2">
        <f t="shared" ref="AD6:AS6" si="6">+AC6*1.05</f>
        <v>3207.75</v>
      </c>
      <c r="AE6" s="2">
        <f t="shared" si="6"/>
        <v>3368.1375000000003</v>
      </c>
      <c r="AF6" s="2">
        <f t="shared" si="6"/>
        <v>3536.5443750000004</v>
      </c>
      <c r="AG6" s="2">
        <f t="shared" si="6"/>
        <v>3713.3715937500006</v>
      </c>
      <c r="AH6" s="2">
        <f t="shared" si="6"/>
        <v>3899.0401734375009</v>
      </c>
      <c r="AI6" s="2">
        <f t="shared" si="6"/>
        <v>4093.9921821093762</v>
      </c>
      <c r="AJ6" s="2">
        <f t="shared" si="6"/>
        <v>4298.6917912148456</v>
      </c>
      <c r="AK6" s="2">
        <f t="shared" si="6"/>
        <v>4513.6263807755877</v>
      </c>
      <c r="AL6" s="2">
        <f t="shared" si="6"/>
        <v>4739.307699814367</v>
      </c>
      <c r="AM6" s="2">
        <f t="shared" si="6"/>
        <v>4976.2730848050851</v>
      </c>
      <c r="AN6" s="2">
        <f t="shared" si="6"/>
        <v>5225.0867390453395</v>
      </c>
      <c r="AO6" s="2">
        <f t="shared" si="6"/>
        <v>5486.3410759976068</v>
      </c>
      <c r="AP6" s="2">
        <f t="shared" si="6"/>
        <v>5760.6581297974872</v>
      </c>
      <c r="AQ6" s="2">
        <f t="shared" si="6"/>
        <v>6048.6910362873614</v>
      </c>
      <c r="AR6" s="2">
        <f t="shared" si="6"/>
        <v>6351.1255881017296</v>
      </c>
      <c r="AS6" s="2">
        <f t="shared" si="6"/>
        <v>6668.6818675068162</v>
      </c>
    </row>
    <row r="7" spans="2:45" x14ac:dyDescent="0.2">
      <c r="B7" s="2" t="s">
        <v>71</v>
      </c>
      <c r="C7" s="2">
        <v>115</v>
      </c>
      <c r="D7" s="2">
        <v>149</v>
      </c>
      <c r="E7" s="2">
        <v>182</v>
      </c>
      <c r="F7" s="2">
        <f t="shared" si="1"/>
        <v>182</v>
      </c>
      <c r="G7" s="2">
        <v>132</v>
      </c>
      <c r="H7" s="2">
        <v>149</v>
      </c>
      <c r="I7" s="2">
        <v>131</v>
      </c>
      <c r="J7" s="2">
        <f t="shared" si="2"/>
        <v>132</v>
      </c>
      <c r="K7" s="2">
        <v>160</v>
      </c>
      <c r="L7" s="2">
        <v>163</v>
      </c>
      <c r="M7" s="2">
        <v>176</v>
      </c>
      <c r="N7" s="2">
        <f t="shared" si="3"/>
        <v>158</v>
      </c>
      <c r="O7" s="2">
        <v>165</v>
      </c>
      <c r="P7" s="2">
        <v>177</v>
      </c>
      <c r="S7" s="4">
        <f>(AC7/T7)^(1/10)-1</f>
        <v>7.4251660644065742E-2</v>
      </c>
      <c r="T7" s="2">
        <v>321</v>
      </c>
      <c r="U7" s="2">
        <v>342</v>
      </c>
      <c r="V7" s="2">
        <v>357</v>
      </c>
      <c r="W7" s="2">
        <v>397</v>
      </c>
      <c r="X7" s="2">
        <v>420</v>
      </c>
      <c r="Y7" s="2">
        <v>474</v>
      </c>
      <c r="Z7" s="2">
        <v>358</v>
      </c>
      <c r="AA7" s="2">
        <v>628</v>
      </c>
      <c r="AB7" s="2">
        <v>544</v>
      </c>
      <c r="AC7" s="2">
        <v>657</v>
      </c>
      <c r="AD7" s="2">
        <f t="shared" ref="AD7:AS7" si="7">+AC7*1.05</f>
        <v>689.85</v>
      </c>
      <c r="AE7" s="2">
        <f t="shared" si="7"/>
        <v>724.34250000000009</v>
      </c>
      <c r="AF7" s="2">
        <f t="shared" si="7"/>
        <v>760.5596250000001</v>
      </c>
      <c r="AG7" s="2">
        <f t="shared" si="7"/>
        <v>798.58760625000014</v>
      </c>
      <c r="AH7" s="2">
        <f t="shared" si="7"/>
        <v>838.51698656250016</v>
      </c>
      <c r="AI7" s="2">
        <f t="shared" si="7"/>
        <v>880.44283589062525</v>
      </c>
      <c r="AJ7" s="2">
        <f t="shared" si="7"/>
        <v>924.46497768515655</v>
      </c>
      <c r="AK7" s="2">
        <f t="shared" si="7"/>
        <v>970.68822656941438</v>
      </c>
      <c r="AL7" s="2">
        <f t="shared" si="7"/>
        <v>1019.2226378978852</v>
      </c>
      <c r="AM7" s="2">
        <f t="shared" si="7"/>
        <v>1070.1837697927795</v>
      </c>
      <c r="AN7" s="2">
        <f t="shared" si="7"/>
        <v>1123.6929582824184</v>
      </c>
      <c r="AO7" s="2">
        <f t="shared" si="7"/>
        <v>1179.8776061965393</v>
      </c>
      <c r="AP7" s="2">
        <f t="shared" si="7"/>
        <v>1238.8714865063664</v>
      </c>
      <c r="AQ7" s="2">
        <f t="shared" si="7"/>
        <v>1300.8150608316848</v>
      </c>
      <c r="AR7" s="2">
        <f t="shared" si="7"/>
        <v>1365.8558138732692</v>
      </c>
      <c r="AS7" s="2">
        <f t="shared" si="7"/>
        <v>1434.1486045669328</v>
      </c>
    </row>
    <row r="8" spans="2:45" x14ac:dyDescent="0.2">
      <c r="B8" s="2" t="s">
        <v>23</v>
      </c>
      <c r="C8" s="2">
        <v>125</v>
      </c>
      <c r="D8" s="2">
        <v>145</v>
      </c>
      <c r="E8" s="2">
        <v>140</v>
      </c>
      <c r="F8" s="2">
        <f t="shared" si="1"/>
        <v>130</v>
      </c>
      <c r="G8" s="2">
        <v>143</v>
      </c>
      <c r="H8" s="2">
        <v>145</v>
      </c>
      <c r="I8" s="2">
        <v>147</v>
      </c>
      <c r="J8" s="2">
        <f t="shared" si="2"/>
        <v>150</v>
      </c>
      <c r="K8" s="2">
        <v>151</v>
      </c>
      <c r="L8" s="2">
        <v>155</v>
      </c>
      <c r="M8" s="2">
        <v>155</v>
      </c>
      <c r="N8" s="2">
        <f t="shared" si="3"/>
        <v>160</v>
      </c>
      <c r="O8" s="2">
        <v>158</v>
      </c>
      <c r="P8" s="2">
        <v>163</v>
      </c>
      <c r="S8" s="4">
        <f>(AC8/T8)^(1/10)-1</f>
        <v>6.8548311008364005E-2</v>
      </c>
      <c r="T8" s="2">
        <v>320</v>
      </c>
      <c r="U8" s="2">
        <v>345</v>
      </c>
      <c r="V8" s="2">
        <v>393</v>
      </c>
      <c r="W8" s="2">
        <v>446</v>
      </c>
      <c r="X8" s="2">
        <v>491</v>
      </c>
      <c r="Y8" s="2">
        <v>525</v>
      </c>
      <c r="Z8" s="2">
        <v>535</v>
      </c>
      <c r="AA8" s="2">
        <v>540</v>
      </c>
      <c r="AB8" s="2">
        <v>585</v>
      </c>
      <c r="AC8" s="2">
        <v>621</v>
      </c>
      <c r="AD8" s="2">
        <f t="shared" ref="AD8:AS8" si="8">+AC8*1.05</f>
        <v>652.05000000000007</v>
      </c>
      <c r="AE8" s="2">
        <f t="shared" si="8"/>
        <v>684.65250000000015</v>
      </c>
      <c r="AF8" s="2">
        <f t="shared" si="8"/>
        <v>718.88512500000013</v>
      </c>
      <c r="AG8" s="2">
        <f t="shared" si="8"/>
        <v>754.82938125000021</v>
      </c>
      <c r="AH8" s="2">
        <f t="shared" si="8"/>
        <v>792.57085031250028</v>
      </c>
      <c r="AI8" s="2">
        <f t="shared" si="8"/>
        <v>832.19939282812538</v>
      </c>
      <c r="AJ8" s="2">
        <f t="shared" si="8"/>
        <v>873.80936246953172</v>
      </c>
      <c r="AK8" s="2">
        <f t="shared" si="8"/>
        <v>917.49983059300837</v>
      </c>
      <c r="AL8" s="2">
        <f t="shared" si="8"/>
        <v>963.37482212265888</v>
      </c>
      <c r="AM8" s="2">
        <f t="shared" si="8"/>
        <v>1011.5435632287919</v>
      </c>
      <c r="AN8" s="2">
        <f t="shared" si="8"/>
        <v>1062.1207413902316</v>
      </c>
      <c r="AO8" s="2">
        <f t="shared" si="8"/>
        <v>1115.2267784597432</v>
      </c>
      <c r="AP8" s="2">
        <f t="shared" si="8"/>
        <v>1170.9881173827305</v>
      </c>
      <c r="AQ8" s="2">
        <f t="shared" si="8"/>
        <v>1229.537523251867</v>
      </c>
      <c r="AR8" s="2">
        <f t="shared" si="8"/>
        <v>1291.0143994144605</v>
      </c>
      <c r="AS8" s="2">
        <f t="shared" si="8"/>
        <v>1355.5651193851836</v>
      </c>
    </row>
    <row r="9" spans="2:45" x14ac:dyDescent="0.2">
      <c r="B9" s="2" t="s">
        <v>70</v>
      </c>
      <c r="C9" s="2">
        <v>25</v>
      </c>
      <c r="D9" s="2">
        <v>27</v>
      </c>
      <c r="E9" s="2">
        <v>25</v>
      </c>
      <c r="F9" s="2">
        <f t="shared" si="1"/>
        <v>22</v>
      </c>
      <c r="G9" s="2">
        <v>26</v>
      </c>
      <c r="H9" s="2">
        <v>27</v>
      </c>
      <c r="I9" s="2">
        <v>30</v>
      </c>
      <c r="J9" s="2">
        <f t="shared" si="2"/>
        <v>31</v>
      </c>
      <c r="K9" s="2">
        <v>32</v>
      </c>
      <c r="L9" s="2">
        <v>34</v>
      </c>
      <c r="M9" s="2">
        <v>33</v>
      </c>
      <c r="N9" s="2">
        <f t="shared" si="3"/>
        <v>27</v>
      </c>
      <c r="O9" s="2">
        <v>27</v>
      </c>
      <c r="P9" s="2">
        <v>25</v>
      </c>
      <c r="S9" s="4">
        <f>(AC9/T9)^(1/10)-1</f>
        <v>1.6013148722435755E-3</v>
      </c>
      <c r="T9" s="2">
        <v>124</v>
      </c>
      <c r="U9" s="2">
        <v>122</v>
      </c>
      <c r="V9" s="2">
        <v>110</v>
      </c>
      <c r="W9" s="2">
        <v>100</v>
      </c>
      <c r="X9" s="2">
        <v>103</v>
      </c>
      <c r="Y9" s="2">
        <v>99</v>
      </c>
      <c r="Z9" s="2">
        <v>85</v>
      </c>
      <c r="AA9" s="2">
        <v>99</v>
      </c>
      <c r="AB9" s="2">
        <v>114</v>
      </c>
      <c r="AC9" s="2">
        <v>126</v>
      </c>
      <c r="AD9" s="2">
        <v>126</v>
      </c>
      <c r="AE9" s="2">
        <v>126</v>
      </c>
      <c r="AF9" s="2">
        <v>126</v>
      </c>
      <c r="AG9" s="2">
        <v>126</v>
      </c>
      <c r="AH9" s="2">
        <v>126</v>
      </c>
      <c r="AI9" s="2">
        <v>126</v>
      </c>
      <c r="AJ9" s="2">
        <v>126</v>
      </c>
      <c r="AK9" s="2">
        <v>126</v>
      </c>
      <c r="AL9" s="2">
        <v>126</v>
      </c>
      <c r="AM9" s="2">
        <v>126</v>
      </c>
      <c r="AN9" s="2">
        <v>126</v>
      </c>
      <c r="AO9" s="2">
        <v>126</v>
      </c>
      <c r="AP9" s="2">
        <v>126</v>
      </c>
      <c r="AQ9" s="2">
        <v>126</v>
      </c>
      <c r="AR9" s="2">
        <v>126</v>
      </c>
      <c r="AS9" s="2">
        <v>126</v>
      </c>
    </row>
    <row r="10" spans="2:45" x14ac:dyDescent="0.2">
      <c r="B10" s="2" t="s">
        <v>69</v>
      </c>
      <c r="C10" s="2">
        <v>23</v>
      </c>
      <c r="D10" s="2">
        <v>78</v>
      </c>
      <c r="E10" s="2">
        <v>60</v>
      </c>
      <c r="F10" s="2">
        <f t="shared" si="1"/>
        <v>22</v>
      </c>
      <c r="G10" s="2">
        <v>57</v>
      </c>
      <c r="H10" s="2">
        <v>78</v>
      </c>
      <c r="I10" s="2">
        <v>81</v>
      </c>
      <c r="J10" s="2">
        <f t="shared" si="2"/>
        <v>73</v>
      </c>
      <c r="K10" s="2">
        <v>76</v>
      </c>
      <c r="L10" s="2">
        <v>82</v>
      </c>
      <c r="M10" s="2">
        <v>80</v>
      </c>
      <c r="N10" s="2">
        <f t="shared" si="3"/>
        <v>78</v>
      </c>
      <c r="O10" s="2">
        <v>77</v>
      </c>
      <c r="P10" s="2">
        <v>87</v>
      </c>
      <c r="S10" s="4">
        <f>(AC10/T10)^(1/10)-1</f>
        <v>3.1828478566312102E-2</v>
      </c>
      <c r="T10" s="2">
        <v>231</v>
      </c>
      <c r="U10" s="2">
        <v>264</v>
      </c>
      <c r="V10" s="2">
        <v>263</v>
      </c>
      <c r="W10" s="2">
        <v>271</v>
      </c>
      <c r="X10" s="2">
        <v>294</v>
      </c>
      <c r="Y10" s="2">
        <v>290</v>
      </c>
      <c r="Z10" s="2">
        <v>110</v>
      </c>
      <c r="AA10" s="2">
        <v>183</v>
      </c>
      <c r="AB10" s="2">
        <v>289</v>
      </c>
      <c r="AC10" s="2">
        <v>316</v>
      </c>
      <c r="AD10" s="2">
        <f t="shared" ref="AD10:AS10" si="9">+AC10*1.03</f>
        <v>325.48</v>
      </c>
      <c r="AE10" s="2">
        <f t="shared" si="9"/>
        <v>335.24440000000004</v>
      </c>
      <c r="AF10" s="2">
        <f t="shared" si="9"/>
        <v>345.30173200000007</v>
      </c>
      <c r="AG10" s="2">
        <f t="shared" si="9"/>
        <v>355.66078396000006</v>
      </c>
      <c r="AH10" s="2">
        <f t="shared" si="9"/>
        <v>366.33060747880006</v>
      </c>
      <c r="AI10" s="2">
        <f t="shared" si="9"/>
        <v>377.32052570316409</v>
      </c>
      <c r="AJ10" s="2">
        <f t="shared" si="9"/>
        <v>388.64014147425905</v>
      </c>
      <c r="AK10" s="2">
        <f t="shared" si="9"/>
        <v>400.29934571848685</v>
      </c>
      <c r="AL10" s="2">
        <f t="shared" si="9"/>
        <v>412.30832609004148</v>
      </c>
      <c r="AM10" s="2">
        <f t="shared" si="9"/>
        <v>424.67757587274275</v>
      </c>
      <c r="AN10" s="2">
        <f t="shared" si="9"/>
        <v>437.41790314892506</v>
      </c>
      <c r="AO10" s="2">
        <f t="shared" si="9"/>
        <v>450.54044024339282</v>
      </c>
      <c r="AP10" s="2">
        <f t="shared" si="9"/>
        <v>464.05665345069463</v>
      </c>
      <c r="AQ10" s="2">
        <f t="shared" si="9"/>
        <v>477.97835305421546</v>
      </c>
      <c r="AR10" s="2">
        <f t="shared" si="9"/>
        <v>492.31770364584196</v>
      </c>
      <c r="AS10" s="2">
        <f t="shared" si="9"/>
        <v>507.08723475521725</v>
      </c>
    </row>
    <row r="11" spans="2:45" x14ac:dyDescent="0.2">
      <c r="B11" s="2" t="s">
        <v>68</v>
      </c>
      <c r="C11" s="2">
        <v>104</v>
      </c>
      <c r="D11" s="2">
        <v>162</v>
      </c>
      <c r="E11" s="2">
        <v>205</v>
      </c>
      <c r="F11" s="2">
        <f t="shared" si="1"/>
        <v>155</v>
      </c>
      <c r="G11" s="2">
        <v>152</v>
      </c>
      <c r="H11" s="2">
        <v>162</v>
      </c>
      <c r="I11" s="2">
        <v>178</v>
      </c>
      <c r="J11" s="2">
        <f t="shared" si="2"/>
        <v>99</v>
      </c>
      <c r="K11" s="2">
        <v>176</v>
      </c>
      <c r="L11" s="2">
        <v>170</v>
      </c>
      <c r="M11" s="2">
        <v>168</v>
      </c>
      <c r="N11" s="2">
        <f t="shared" si="3"/>
        <v>140</v>
      </c>
      <c r="O11" s="2">
        <v>132</v>
      </c>
      <c r="P11" s="2">
        <v>150</v>
      </c>
      <c r="S11" s="4">
        <f>(AC11/T11)^(1/10)-1</f>
        <v>4.5779553890979319E-2</v>
      </c>
      <c r="T11" s="2">
        <v>418</v>
      </c>
      <c r="U11" s="2">
        <v>490</v>
      </c>
      <c r="V11" s="2">
        <v>563</v>
      </c>
      <c r="W11" s="2">
        <v>622</v>
      </c>
      <c r="X11" s="2">
        <v>625</v>
      </c>
      <c r="Y11" s="2">
        <v>619</v>
      </c>
      <c r="Z11" s="2">
        <v>441</v>
      </c>
      <c r="AA11" s="2">
        <v>626</v>
      </c>
      <c r="AB11" s="2">
        <v>591</v>
      </c>
      <c r="AC11" s="2">
        <v>654</v>
      </c>
      <c r="AD11" s="2">
        <f t="shared" ref="AD11:AS11" si="10">+AC11*1.05</f>
        <v>686.7</v>
      </c>
      <c r="AE11" s="2">
        <f t="shared" si="10"/>
        <v>721.03500000000008</v>
      </c>
      <c r="AF11" s="2">
        <f t="shared" si="10"/>
        <v>757.08675000000017</v>
      </c>
      <c r="AG11" s="2">
        <f t="shared" si="10"/>
        <v>794.94108750000021</v>
      </c>
      <c r="AH11" s="2">
        <f t="shared" si="10"/>
        <v>834.68814187500027</v>
      </c>
      <c r="AI11" s="2">
        <f t="shared" si="10"/>
        <v>876.42254896875033</v>
      </c>
      <c r="AJ11" s="2">
        <f t="shared" si="10"/>
        <v>920.24367641718788</v>
      </c>
      <c r="AK11" s="2">
        <f t="shared" si="10"/>
        <v>966.25586023804738</v>
      </c>
      <c r="AL11" s="2">
        <f t="shared" si="10"/>
        <v>1014.5686532499498</v>
      </c>
      <c r="AM11" s="2">
        <f t="shared" si="10"/>
        <v>1065.2970859124473</v>
      </c>
      <c r="AN11" s="2">
        <f t="shared" si="10"/>
        <v>1118.5619402080697</v>
      </c>
      <c r="AO11" s="2">
        <f t="shared" si="10"/>
        <v>1174.4900372184732</v>
      </c>
      <c r="AP11" s="2">
        <f t="shared" si="10"/>
        <v>1233.2145390793969</v>
      </c>
      <c r="AQ11" s="2">
        <f t="shared" si="10"/>
        <v>1294.8752660333669</v>
      </c>
      <c r="AR11" s="2">
        <f t="shared" si="10"/>
        <v>1359.6190293350353</v>
      </c>
      <c r="AS11" s="2">
        <f t="shared" si="10"/>
        <v>1427.5999808017871</v>
      </c>
    </row>
    <row r="12" spans="2:45" x14ac:dyDescent="0.2">
      <c r="B12" s="2" t="s">
        <v>19</v>
      </c>
      <c r="C12" s="2">
        <v>210</v>
      </c>
      <c r="D12" s="2">
        <v>348</v>
      </c>
      <c r="E12" s="2">
        <v>297</v>
      </c>
      <c r="F12" s="2">
        <f t="shared" si="1"/>
        <v>225</v>
      </c>
      <c r="G12" s="2">
        <v>334</v>
      </c>
      <c r="H12" s="2">
        <v>348</v>
      </c>
      <c r="I12" s="2">
        <v>343</v>
      </c>
      <c r="J12" s="2">
        <f t="shared" si="2"/>
        <v>343</v>
      </c>
      <c r="K12" s="2">
        <v>337</v>
      </c>
      <c r="L12" s="2">
        <v>354</v>
      </c>
      <c r="M12" s="2">
        <v>396</v>
      </c>
      <c r="N12" s="2">
        <f t="shared" si="3"/>
        <v>412</v>
      </c>
      <c r="O12" s="2">
        <v>359</v>
      </c>
      <c r="P12" s="2">
        <v>358</v>
      </c>
      <c r="S12" s="10">
        <v>0.05</v>
      </c>
      <c r="T12" s="2">
        <v>682</v>
      </c>
      <c r="U12" s="2">
        <v>749</v>
      </c>
      <c r="V12" s="2">
        <v>866</v>
      </c>
      <c r="W12" s="2">
        <v>933</v>
      </c>
      <c r="X12" s="2">
        <v>1059</v>
      </c>
      <c r="Y12" s="2">
        <v>1106</v>
      </c>
      <c r="Z12" s="2">
        <v>762</v>
      </c>
      <c r="AA12" s="2">
        <v>1080</v>
      </c>
      <c r="AB12" s="2">
        <v>1368</v>
      </c>
      <c r="AC12" s="2">
        <v>1499</v>
      </c>
      <c r="AD12" s="2">
        <f t="shared" ref="AD12:AS12" si="11">+AC12*1.05</f>
        <v>1573.95</v>
      </c>
      <c r="AE12" s="2">
        <f t="shared" si="11"/>
        <v>1652.6475</v>
      </c>
      <c r="AF12" s="2">
        <f t="shared" si="11"/>
        <v>1735.2798750000002</v>
      </c>
      <c r="AG12" s="2">
        <f t="shared" si="11"/>
        <v>1822.0438687500002</v>
      </c>
      <c r="AH12" s="2">
        <f t="shared" si="11"/>
        <v>1913.1460621875003</v>
      </c>
      <c r="AI12" s="2">
        <f t="shared" si="11"/>
        <v>2008.8033652968754</v>
      </c>
      <c r="AJ12" s="2">
        <f t="shared" si="11"/>
        <v>2109.2435335617192</v>
      </c>
      <c r="AK12" s="2">
        <f t="shared" si="11"/>
        <v>2214.7057102398053</v>
      </c>
      <c r="AL12" s="2">
        <f t="shared" si="11"/>
        <v>2325.4409957517955</v>
      </c>
      <c r="AM12" s="2">
        <f t="shared" si="11"/>
        <v>2441.7130455393853</v>
      </c>
      <c r="AN12" s="2">
        <f t="shared" si="11"/>
        <v>2563.7986978163549</v>
      </c>
      <c r="AO12" s="2">
        <f t="shared" si="11"/>
        <v>2691.9886327071727</v>
      </c>
      <c r="AP12" s="2">
        <f t="shared" si="11"/>
        <v>2826.5880643425312</v>
      </c>
      <c r="AQ12" s="2">
        <f t="shared" si="11"/>
        <v>2967.9174675596578</v>
      </c>
      <c r="AR12" s="2">
        <f t="shared" si="11"/>
        <v>3116.313340937641</v>
      </c>
      <c r="AS12" s="2">
        <f t="shared" si="11"/>
        <v>3272.129007984523</v>
      </c>
    </row>
    <row r="13" spans="2:45" x14ac:dyDescent="0.2">
      <c r="B13" s="2" t="s">
        <v>22</v>
      </c>
      <c r="C13" s="2">
        <v>-289</v>
      </c>
      <c r="D13" s="2">
        <v>-366</v>
      </c>
      <c r="E13" s="2">
        <v>-186</v>
      </c>
      <c r="F13" s="2">
        <f t="shared" si="1"/>
        <v>8</v>
      </c>
      <c r="G13" s="2">
        <v>0</v>
      </c>
      <c r="H13" s="2">
        <v>44</v>
      </c>
      <c r="I13" s="2">
        <v>13</v>
      </c>
      <c r="J13" s="2">
        <f t="shared" si="2"/>
        <v>56</v>
      </c>
      <c r="K13" s="2">
        <v>337</v>
      </c>
      <c r="L13" s="2">
        <v>24</v>
      </c>
      <c r="M13" s="2">
        <v>33</v>
      </c>
      <c r="N13" s="2">
        <f t="shared" si="3"/>
        <v>-197</v>
      </c>
      <c r="O13" s="2">
        <v>562</v>
      </c>
      <c r="P13" s="2">
        <v>1</v>
      </c>
      <c r="S13" s="4"/>
      <c r="T13" s="2">
        <v>0</v>
      </c>
      <c r="U13" s="2">
        <v>0</v>
      </c>
      <c r="V13" s="2">
        <v>0</v>
      </c>
      <c r="W13" s="2">
        <v>0</v>
      </c>
      <c r="X13" s="2">
        <v>435</v>
      </c>
      <c r="Y13" s="2">
        <v>14</v>
      </c>
      <c r="Z13" s="2">
        <v>-283</v>
      </c>
      <c r="AA13" s="2">
        <v>-833</v>
      </c>
      <c r="AB13" s="2">
        <v>113</v>
      </c>
      <c r="AC13" s="2">
        <v>197</v>
      </c>
      <c r="AD13" s="2">
        <f t="shared" ref="AD13:AS13" si="12">+AC13*0.88</f>
        <v>173.36</v>
      </c>
      <c r="AE13" s="2">
        <f t="shared" si="12"/>
        <v>152.55680000000001</v>
      </c>
      <c r="AF13" s="2">
        <f t="shared" si="12"/>
        <v>134.24998400000001</v>
      </c>
      <c r="AG13" s="2">
        <f t="shared" si="12"/>
        <v>118.13998592000002</v>
      </c>
      <c r="AH13" s="2">
        <f t="shared" si="12"/>
        <v>103.96318760960001</v>
      </c>
      <c r="AI13" s="2">
        <f t="shared" si="12"/>
        <v>91.487605096448007</v>
      </c>
      <c r="AJ13" s="2">
        <f t="shared" si="12"/>
        <v>80.509092484874245</v>
      </c>
      <c r="AK13" s="2">
        <f t="shared" si="12"/>
        <v>70.848001386689333</v>
      </c>
      <c r="AL13" s="2">
        <f t="shared" si="12"/>
        <v>62.346241220286615</v>
      </c>
      <c r="AM13" s="2">
        <f t="shared" si="12"/>
        <v>54.864692273852221</v>
      </c>
      <c r="AN13" s="2">
        <f t="shared" si="12"/>
        <v>48.280929200989952</v>
      </c>
      <c r="AO13" s="2">
        <f t="shared" si="12"/>
        <v>42.487217696871156</v>
      </c>
      <c r="AP13" s="2">
        <f t="shared" si="12"/>
        <v>37.388751573246616</v>
      </c>
      <c r="AQ13" s="2">
        <f t="shared" si="12"/>
        <v>32.902101384457019</v>
      </c>
      <c r="AR13" s="2">
        <f t="shared" si="12"/>
        <v>28.953849218322176</v>
      </c>
      <c r="AS13" s="2">
        <f t="shared" si="12"/>
        <v>25.479387312123514</v>
      </c>
    </row>
    <row r="14" spans="2:45" x14ac:dyDescent="0.2">
      <c r="B14" s="2" t="s">
        <v>67</v>
      </c>
      <c r="C14" s="2">
        <f t="shared" ref="C14:P14" si="13">+SUM(C5:C12)</f>
        <v>1316</v>
      </c>
      <c r="D14" s="2">
        <f t="shared" si="13"/>
        <v>2514</v>
      </c>
      <c r="E14" s="2">
        <f t="shared" si="13"/>
        <v>1972</v>
      </c>
      <c r="F14" s="2">
        <f t="shared" si="13"/>
        <v>1148</v>
      </c>
      <c r="G14" s="2">
        <f t="shared" si="13"/>
        <v>2103</v>
      </c>
      <c r="H14" s="2">
        <f t="shared" si="13"/>
        <v>2514</v>
      </c>
      <c r="I14" s="2">
        <f t="shared" si="13"/>
        <v>2410</v>
      </c>
      <c r="J14" s="2">
        <f t="shared" si="13"/>
        <v>2316</v>
      </c>
      <c r="K14" s="2">
        <f t="shared" si="13"/>
        <v>2458</v>
      </c>
      <c r="L14" s="2">
        <f t="shared" si="13"/>
        <v>2351</v>
      </c>
      <c r="M14" s="2">
        <f t="shared" si="13"/>
        <v>2476</v>
      </c>
      <c r="N14" s="2">
        <f t="shared" si="13"/>
        <v>2363</v>
      </c>
      <c r="O14" s="2">
        <f t="shared" si="13"/>
        <v>2366</v>
      </c>
      <c r="P14" s="2">
        <f t="shared" si="13"/>
        <v>2370</v>
      </c>
      <c r="T14" s="2">
        <f t="shared" ref="T14:AS14" si="14">+SUM(T5:T13)</f>
        <v>5302</v>
      </c>
      <c r="U14" s="2">
        <f t="shared" si="14"/>
        <v>5200</v>
      </c>
      <c r="V14" s="2">
        <f t="shared" si="14"/>
        <v>5324</v>
      </c>
      <c r="W14" s="2">
        <f t="shared" si="14"/>
        <v>6019</v>
      </c>
      <c r="X14" s="2">
        <f t="shared" si="14"/>
        <v>7370</v>
      </c>
      <c r="Y14" s="2">
        <f t="shared" si="14"/>
        <v>7294</v>
      </c>
      <c r="Z14" s="2">
        <f t="shared" si="14"/>
        <v>4671</v>
      </c>
      <c r="AA14" s="2">
        <f t="shared" si="14"/>
        <v>6117</v>
      </c>
      <c r="AB14" s="2">
        <f t="shared" si="14"/>
        <v>9456</v>
      </c>
      <c r="AC14" s="2">
        <f t="shared" si="14"/>
        <v>9845</v>
      </c>
      <c r="AD14" s="2">
        <f t="shared" si="14"/>
        <v>10263.940000000002</v>
      </c>
      <c r="AE14" s="2">
        <f t="shared" si="14"/>
        <v>10706.5682</v>
      </c>
      <c r="AF14" s="2">
        <f t="shared" si="14"/>
        <v>11173.537546</v>
      </c>
      <c r="AG14" s="2">
        <f t="shared" si="14"/>
        <v>11665.589590580001</v>
      </c>
      <c r="AH14" s="2">
        <f t="shared" si="14"/>
        <v>12183.5519039914</v>
      </c>
      <c r="AI14" s="2">
        <f t="shared" si="14"/>
        <v>12728.336186202489</v>
      </c>
      <c r="AJ14" s="2">
        <f t="shared" si="14"/>
        <v>13300.93701482906</v>
      </c>
      <c r="AK14" s="2">
        <f t="shared" si="14"/>
        <v>13902.431172623385</v>
      </c>
      <c r="AL14" s="2">
        <f t="shared" si="14"/>
        <v>14533.977505933424</v>
      </c>
      <c r="AM14" s="2">
        <f t="shared" si="14"/>
        <v>15196.817272402981</v>
      </c>
      <c r="AN14" s="2">
        <f t="shared" si="14"/>
        <v>15892.274942269345</v>
      </c>
      <c r="AO14" s="2">
        <f t="shared" si="14"/>
        <v>16621.75942302389</v>
      </c>
      <c r="AP14" s="2">
        <f t="shared" si="14"/>
        <v>17386.76568201671</v>
      </c>
      <c r="AQ14" s="2">
        <f t="shared" si="14"/>
        <v>18188.87674588224</v>
      </c>
      <c r="AR14" s="2">
        <f t="shared" si="14"/>
        <v>19029.766059505117</v>
      </c>
      <c r="AS14" s="2">
        <f t="shared" si="14"/>
        <v>19911.200190690553</v>
      </c>
    </row>
    <row r="15" spans="2:45" s="6" customFormat="1" x14ac:dyDescent="0.2">
      <c r="B15" s="6" t="s">
        <v>66</v>
      </c>
      <c r="C15" s="6">
        <f t="shared" ref="C15:P15" si="15">+C4-C14</f>
        <v>-583</v>
      </c>
      <c r="D15" s="6">
        <f t="shared" si="15"/>
        <v>-69</v>
      </c>
      <c r="E15" s="6">
        <f t="shared" si="15"/>
        <v>0</v>
      </c>
      <c r="F15" s="6">
        <f t="shared" si="15"/>
        <v>-261</v>
      </c>
      <c r="G15" s="6">
        <f t="shared" si="15"/>
        <v>-367</v>
      </c>
      <c r="H15" s="6">
        <f t="shared" si="15"/>
        <v>-69</v>
      </c>
      <c r="I15" s="6">
        <f t="shared" si="15"/>
        <v>152</v>
      </c>
      <c r="J15" s="6">
        <f t="shared" si="15"/>
        <v>99</v>
      </c>
      <c r="K15" s="6">
        <f t="shared" si="15"/>
        <v>-130</v>
      </c>
      <c r="L15" s="6">
        <f t="shared" si="15"/>
        <v>259</v>
      </c>
      <c r="M15" s="6">
        <f t="shared" si="15"/>
        <v>-123</v>
      </c>
      <c r="N15" s="6">
        <f t="shared" si="15"/>
        <v>-39</v>
      </c>
      <c r="O15" s="6">
        <f t="shared" si="15"/>
        <v>-157</v>
      </c>
      <c r="P15" s="6">
        <f t="shared" si="15"/>
        <v>58</v>
      </c>
      <c r="T15" s="6">
        <f t="shared" ref="T15:AS15" si="16">+T4-T14</f>
        <v>515</v>
      </c>
      <c r="U15" s="6">
        <f t="shared" si="16"/>
        <v>1216</v>
      </c>
      <c r="V15" s="6">
        <f t="shared" si="16"/>
        <v>1260</v>
      </c>
      <c r="W15" s="6">
        <f t="shared" si="16"/>
        <v>993</v>
      </c>
      <c r="X15" s="6">
        <f t="shared" si="16"/>
        <v>288</v>
      </c>
      <c r="Y15" s="6">
        <f t="shared" si="16"/>
        <v>800</v>
      </c>
      <c r="Z15" s="6">
        <f t="shared" si="16"/>
        <v>-1714</v>
      </c>
      <c r="AA15" s="6">
        <f t="shared" si="16"/>
        <v>-80</v>
      </c>
      <c r="AB15" s="6">
        <f t="shared" si="16"/>
        <v>-298</v>
      </c>
      <c r="AC15" s="6">
        <f t="shared" si="16"/>
        <v>-230</v>
      </c>
      <c r="AD15" s="6">
        <f t="shared" si="16"/>
        <v>-168.19000000000233</v>
      </c>
      <c r="AE15" s="6">
        <f t="shared" si="16"/>
        <v>-106.03069999999934</v>
      </c>
      <c r="AF15" s="6">
        <f t="shared" si="16"/>
        <v>-42.973170999997819</v>
      </c>
      <c r="AG15" s="6">
        <f t="shared" si="16"/>
        <v>21.503003170000738</v>
      </c>
      <c r="AH15" s="6">
        <f t="shared" si="16"/>
        <v>87.895319446102803</v>
      </c>
      <c r="AI15" s="6">
        <f t="shared" si="16"/>
        <v>156.68339840688895</v>
      </c>
      <c r="AJ15" s="6">
        <f t="shared" si="16"/>
        <v>228.33354901078746</v>
      </c>
      <c r="AK15" s="6">
        <f t="shared" si="16"/>
        <v>303.30291940845564</v>
      </c>
      <c r="AL15" s="6">
        <f t="shared" si="16"/>
        <v>382.04329070000858</v>
      </c>
      <c r="AM15" s="6">
        <f t="shared" si="16"/>
        <v>465.0045640621247</v>
      </c>
      <c r="AN15" s="6">
        <f t="shared" si="16"/>
        <v>552.63798601901726</v>
      </c>
      <c r="AO15" s="6">
        <f t="shared" si="16"/>
        <v>645.39915167889194</v>
      </c>
      <c r="AP15" s="6">
        <f t="shared" si="16"/>
        <v>743.75082142121028</v>
      </c>
      <c r="AQ15" s="6">
        <f t="shared" si="16"/>
        <v>848.16558272757538</v>
      </c>
      <c r="AR15" s="6">
        <f t="shared" si="16"/>
        <v>959.12838553519032</v>
      </c>
      <c r="AS15" s="6">
        <f t="shared" si="16"/>
        <v>1077.138976601771</v>
      </c>
    </row>
    <row r="16" spans="2:45" x14ac:dyDescent="0.2">
      <c r="B16" s="2" t="s">
        <v>65</v>
      </c>
      <c r="C16" s="2">
        <v>-58</v>
      </c>
      <c r="D16" s="2">
        <v>-40</v>
      </c>
      <c r="E16" s="2">
        <v>-42</v>
      </c>
      <c r="F16" s="2">
        <f>+AA16-SUM(C16:E16)</f>
        <v>-52</v>
      </c>
      <c r="G16" s="2">
        <v>-37</v>
      </c>
      <c r="H16" s="2">
        <v>-40</v>
      </c>
      <c r="I16" s="2">
        <v>-44</v>
      </c>
      <c r="J16" s="2">
        <f>+AB16-SUM(G16:I16)</f>
        <v>-45</v>
      </c>
      <c r="K16" s="2">
        <v>-46</v>
      </c>
      <c r="L16" s="2">
        <v>-47</v>
      </c>
      <c r="M16" s="2">
        <v>-53</v>
      </c>
      <c r="N16" s="2">
        <f>+AC16-SUM(K16:M16)</f>
        <v>-64</v>
      </c>
      <c r="O16" s="2">
        <v>-53</v>
      </c>
      <c r="P16" s="2">
        <v>-63</v>
      </c>
      <c r="T16" s="2">
        <v>-148</v>
      </c>
      <c r="U16" s="2">
        <v>-128</v>
      </c>
      <c r="V16" s="2">
        <v>-111</v>
      </c>
      <c r="W16" s="2">
        <v>-95</v>
      </c>
      <c r="X16" s="2">
        <v>-92</v>
      </c>
      <c r="Y16" s="2">
        <v>-79</v>
      </c>
      <c r="Z16" s="2">
        <v>-179</v>
      </c>
      <c r="AA16" s="2">
        <v>-192</v>
      </c>
      <c r="AB16" s="2">
        <v>-166</v>
      </c>
      <c r="AC16" s="2">
        <v>-210</v>
      </c>
      <c r="AD16" s="2">
        <f t="shared" ref="AD16:AS16" si="17">+AC30*0.05</f>
        <v>-196.20000000000002</v>
      </c>
      <c r="AE16" s="2">
        <f t="shared" si="17"/>
        <v>-211.64700000000013</v>
      </c>
      <c r="AF16" s="2">
        <f t="shared" si="17"/>
        <v>-224.52476000000013</v>
      </c>
      <c r="AG16" s="2">
        <f t="shared" si="17"/>
        <v>-234.64822530000004</v>
      </c>
      <c r="AH16" s="2">
        <f t="shared" si="17"/>
        <v>-241.79648359399999</v>
      </c>
      <c r="AI16" s="2">
        <f t="shared" si="17"/>
        <v>-245.71208884826984</v>
      </c>
      <c r="AJ16" s="2">
        <f t="shared" si="17"/>
        <v>-246.10009776955764</v>
      </c>
      <c r="AK16" s="2">
        <f t="shared" si="17"/>
        <v>-242.62682832667585</v>
      </c>
      <c r="AL16" s="2">
        <f t="shared" si="17"/>
        <v>-234.91834704772552</v>
      </c>
      <c r="AM16" s="2">
        <f t="shared" si="17"/>
        <v>-222.55868930400695</v>
      </c>
      <c r="AN16" s="2">
        <f t="shared" si="17"/>
        <v>-205.08781447694142</v>
      </c>
      <c r="AO16" s="2">
        <f t="shared" si="17"/>
        <v>-181.99929575622002</v>
      </c>
      <c r="AP16" s="2">
        <f t="shared" si="17"/>
        <v>-152.73774230928797</v>
      </c>
      <c r="AQ16" s="2">
        <f t="shared" si="17"/>
        <v>-116.69594967035344</v>
      </c>
      <c r="AR16" s="2">
        <f t="shared" si="17"/>
        <v>-73.211772399987012</v>
      </c>
      <c r="AS16" s="2">
        <f t="shared" si="17"/>
        <v>-21.564711344846263</v>
      </c>
    </row>
    <row r="17" spans="2:146" x14ac:dyDescent="0.2">
      <c r="B17" s="2" t="s">
        <v>64</v>
      </c>
      <c r="C17" s="2">
        <v>4</v>
      </c>
      <c r="D17" s="2">
        <v>8</v>
      </c>
      <c r="E17" s="2">
        <v>4</v>
      </c>
      <c r="F17" s="2">
        <f>+AA17-SUM(C17:E17)</f>
        <v>1</v>
      </c>
      <c r="G17" s="2">
        <v>4</v>
      </c>
      <c r="H17" s="2">
        <v>8</v>
      </c>
      <c r="I17" s="2">
        <v>11</v>
      </c>
      <c r="J17" s="2">
        <f>+AB17-SUM(G17:I17)</f>
        <v>16</v>
      </c>
      <c r="K17" s="2">
        <v>12</v>
      </c>
      <c r="L17" s="2">
        <v>18</v>
      </c>
      <c r="M17" s="2">
        <v>24</v>
      </c>
      <c r="N17" s="2">
        <f>+AC17-SUM(K17:M17)</f>
        <v>35</v>
      </c>
      <c r="O17" s="2">
        <v>19</v>
      </c>
      <c r="P17" s="2">
        <v>18</v>
      </c>
      <c r="S17" s="4"/>
      <c r="T17" s="2">
        <v>1</v>
      </c>
      <c r="U17" s="2">
        <v>1</v>
      </c>
      <c r="V17" s="2">
        <v>7</v>
      </c>
      <c r="W17" s="2">
        <v>6</v>
      </c>
      <c r="X17" s="2">
        <v>13</v>
      </c>
      <c r="Y17" s="2">
        <v>32</v>
      </c>
      <c r="Z17" s="2">
        <v>23</v>
      </c>
      <c r="AA17" s="2">
        <v>17</v>
      </c>
      <c r="AB17" s="2">
        <v>39</v>
      </c>
      <c r="AC17" s="2">
        <v>89</v>
      </c>
      <c r="AD17" s="2">
        <f t="shared" ref="AD17:AS17" si="18">+AC17*1.05</f>
        <v>93.45</v>
      </c>
      <c r="AE17" s="2">
        <f t="shared" si="18"/>
        <v>98.122500000000002</v>
      </c>
      <c r="AF17" s="2">
        <f t="shared" si="18"/>
        <v>103.02862500000001</v>
      </c>
      <c r="AG17" s="2">
        <f t="shared" si="18"/>
        <v>108.18005625000001</v>
      </c>
      <c r="AH17" s="2">
        <f t="shared" si="18"/>
        <v>113.58905906250001</v>
      </c>
      <c r="AI17" s="2">
        <f t="shared" si="18"/>
        <v>119.26851201562502</v>
      </c>
      <c r="AJ17" s="2">
        <f t="shared" si="18"/>
        <v>125.23193761640627</v>
      </c>
      <c r="AK17" s="2">
        <f t="shared" si="18"/>
        <v>131.49353449722659</v>
      </c>
      <c r="AL17" s="2">
        <f t="shared" si="18"/>
        <v>138.06821122208794</v>
      </c>
      <c r="AM17" s="2">
        <f t="shared" si="18"/>
        <v>144.97162178319235</v>
      </c>
      <c r="AN17" s="2">
        <f t="shared" si="18"/>
        <v>152.22020287235196</v>
      </c>
      <c r="AO17" s="2">
        <f t="shared" si="18"/>
        <v>159.83121301596955</v>
      </c>
      <c r="AP17" s="2">
        <f t="shared" si="18"/>
        <v>167.82277366676803</v>
      </c>
      <c r="AQ17" s="2">
        <f t="shared" si="18"/>
        <v>176.21391235010643</v>
      </c>
      <c r="AR17" s="2">
        <f t="shared" si="18"/>
        <v>185.02460796761176</v>
      </c>
      <c r="AS17" s="2">
        <f t="shared" si="18"/>
        <v>194.27583836599234</v>
      </c>
    </row>
    <row r="18" spans="2:146" x14ac:dyDescent="0.2">
      <c r="B18" s="2" t="s">
        <v>63</v>
      </c>
      <c r="C18" s="2">
        <f t="shared" ref="C18:P18" si="19">+C15+SUM(C16:C17)</f>
        <v>-637</v>
      </c>
      <c r="D18" s="2">
        <f t="shared" si="19"/>
        <v>-101</v>
      </c>
      <c r="E18" s="2">
        <f t="shared" si="19"/>
        <v>-38</v>
      </c>
      <c r="F18" s="2">
        <f t="shared" si="19"/>
        <v>-312</v>
      </c>
      <c r="G18" s="2">
        <f t="shared" si="19"/>
        <v>-400</v>
      </c>
      <c r="H18" s="2">
        <f t="shared" si="19"/>
        <v>-101</v>
      </c>
      <c r="I18" s="2">
        <f t="shared" si="19"/>
        <v>119</v>
      </c>
      <c r="J18" s="2">
        <f t="shared" si="19"/>
        <v>70</v>
      </c>
      <c r="K18" s="2">
        <f t="shared" si="19"/>
        <v>-164</v>
      </c>
      <c r="L18" s="2">
        <f t="shared" si="19"/>
        <v>230</v>
      </c>
      <c r="M18" s="2">
        <f t="shared" si="19"/>
        <v>-152</v>
      </c>
      <c r="N18" s="2">
        <f t="shared" si="19"/>
        <v>-68</v>
      </c>
      <c r="O18" s="2">
        <f t="shared" si="19"/>
        <v>-191</v>
      </c>
      <c r="P18" s="2">
        <f t="shared" si="19"/>
        <v>13</v>
      </c>
      <c r="T18" s="2">
        <f t="shared" ref="T18:AS18" si="20">+T15+SUM(T16:T17)</f>
        <v>368</v>
      </c>
      <c r="U18" s="2">
        <f t="shared" si="20"/>
        <v>1089</v>
      </c>
      <c r="V18" s="2">
        <f t="shared" si="20"/>
        <v>1156</v>
      </c>
      <c r="W18" s="2">
        <f t="shared" si="20"/>
        <v>904</v>
      </c>
      <c r="X18" s="2">
        <f t="shared" si="20"/>
        <v>209</v>
      </c>
      <c r="Y18" s="2">
        <f t="shared" si="20"/>
        <v>753</v>
      </c>
      <c r="Z18" s="2">
        <f t="shared" si="20"/>
        <v>-1870</v>
      </c>
      <c r="AA18" s="2">
        <f t="shared" si="20"/>
        <v>-255</v>
      </c>
      <c r="AB18" s="2">
        <f t="shared" si="20"/>
        <v>-425</v>
      </c>
      <c r="AC18" s="2">
        <f t="shared" si="20"/>
        <v>-351</v>
      </c>
      <c r="AD18" s="2">
        <f t="shared" si="20"/>
        <v>-270.94000000000233</v>
      </c>
      <c r="AE18" s="2">
        <f t="shared" si="20"/>
        <v>-219.55519999999947</v>
      </c>
      <c r="AF18" s="2">
        <f t="shared" si="20"/>
        <v>-164.46930599999794</v>
      </c>
      <c r="AG18" s="2">
        <f t="shared" si="20"/>
        <v>-104.96516587999929</v>
      </c>
      <c r="AH18" s="2">
        <f t="shared" si="20"/>
        <v>-40.312105085397178</v>
      </c>
      <c r="AI18" s="2">
        <f t="shared" si="20"/>
        <v>30.239821574244132</v>
      </c>
      <c r="AJ18" s="2">
        <f t="shared" si="20"/>
        <v>107.4653888576361</v>
      </c>
      <c r="AK18" s="2">
        <f t="shared" si="20"/>
        <v>192.16962557900638</v>
      </c>
      <c r="AL18" s="2">
        <f t="shared" si="20"/>
        <v>285.19315487437098</v>
      </c>
      <c r="AM18" s="2">
        <f t="shared" si="20"/>
        <v>387.41749654131013</v>
      </c>
      <c r="AN18" s="2">
        <f t="shared" si="20"/>
        <v>499.77037441442781</v>
      </c>
      <c r="AO18" s="2">
        <f t="shared" si="20"/>
        <v>623.23106893864144</v>
      </c>
      <c r="AP18" s="2">
        <f t="shared" si="20"/>
        <v>758.83585277869031</v>
      </c>
      <c r="AQ18" s="2">
        <f t="shared" si="20"/>
        <v>907.68354540732832</v>
      </c>
      <c r="AR18" s="2">
        <f t="shared" si="20"/>
        <v>1070.941221102815</v>
      </c>
      <c r="AS18" s="2">
        <f t="shared" si="20"/>
        <v>1249.850103622917</v>
      </c>
    </row>
    <row r="19" spans="2:146" x14ac:dyDescent="0.2">
      <c r="B19" s="2" t="s">
        <v>33</v>
      </c>
      <c r="C19" s="2">
        <v>-100</v>
      </c>
      <c r="D19" s="2">
        <v>37</v>
      </c>
      <c r="E19" s="2">
        <v>60</v>
      </c>
      <c r="F19" s="2">
        <f>+AA19-SUM(C19:E19)</f>
        <v>-78</v>
      </c>
      <c r="G19" s="2">
        <v>-143</v>
      </c>
      <c r="H19" s="2">
        <v>37</v>
      </c>
      <c r="I19" s="2">
        <v>48</v>
      </c>
      <c r="J19" s="2">
        <f>+AB19-SUM(G19:I19)</f>
        <v>-17</v>
      </c>
      <c r="K19" s="2">
        <v>-74</v>
      </c>
      <c r="L19" s="2">
        <v>78</v>
      </c>
      <c r="M19" s="2">
        <v>-21</v>
      </c>
      <c r="N19" s="2">
        <f>+AC19-SUM(K19:M19)</f>
        <v>-7</v>
      </c>
      <c r="O19" s="2">
        <v>-51</v>
      </c>
      <c r="P19" s="2">
        <v>6</v>
      </c>
      <c r="T19" s="2">
        <v>222</v>
      </c>
      <c r="U19" s="2">
        <v>420</v>
      </c>
      <c r="V19" s="2">
        <v>437</v>
      </c>
      <c r="W19" s="2">
        <v>-211</v>
      </c>
      <c r="X19" s="2">
        <v>31</v>
      </c>
      <c r="Y19" s="2">
        <v>199</v>
      </c>
      <c r="Z19" s="2">
        <v>-539</v>
      </c>
      <c r="AA19" s="2">
        <v>-81</v>
      </c>
      <c r="AB19" s="2">
        <v>-75</v>
      </c>
      <c r="AC19" s="2">
        <v>-24</v>
      </c>
      <c r="AD19" s="2">
        <v>38</v>
      </c>
      <c r="AE19" s="2">
        <v>38</v>
      </c>
      <c r="AF19" s="2">
        <v>38</v>
      </c>
      <c r="AG19" s="2">
        <v>38</v>
      </c>
      <c r="AH19" s="2">
        <v>38</v>
      </c>
      <c r="AI19" s="2">
        <v>38</v>
      </c>
      <c r="AJ19" s="2">
        <v>38</v>
      </c>
      <c r="AK19" s="2">
        <v>38</v>
      </c>
      <c r="AL19" s="2">
        <v>38</v>
      </c>
      <c r="AM19" s="2">
        <v>38</v>
      </c>
      <c r="AN19" s="2">
        <v>38</v>
      </c>
      <c r="AO19" s="2">
        <v>38</v>
      </c>
      <c r="AP19" s="2">
        <v>38</v>
      </c>
      <c r="AQ19" s="2">
        <v>38</v>
      </c>
      <c r="AR19" s="2">
        <v>38</v>
      </c>
      <c r="AS19" s="2">
        <v>38</v>
      </c>
    </row>
    <row r="20" spans="2:146" s="6" customFormat="1" x14ac:dyDescent="0.2">
      <c r="B20" s="6" t="s">
        <v>62</v>
      </c>
      <c r="C20" s="6">
        <f t="shared" ref="C20:P20" si="21">+C18-C19</f>
        <v>-537</v>
      </c>
      <c r="D20" s="6">
        <f t="shared" si="21"/>
        <v>-138</v>
      </c>
      <c r="E20" s="6">
        <f t="shared" si="21"/>
        <v>-98</v>
      </c>
      <c r="F20" s="6">
        <f t="shared" si="21"/>
        <v>-234</v>
      </c>
      <c r="G20" s="6">
        <f t="shared" si="21"/>
        <v>-257</v>
      </c>
      <c r="H20" s="6">
        <f t="shared" si="21"/>
        <v>-138</v>
      </c>
      <c r="I20" s="6">
        <f t="shared" si="21"/>
        <v>71</v>
      </c>
      <c r="J20" s="6">
        <f t="shared" si="21"/>
        <v>87</v>
      </c>
      <c r="K20" s="6">
        <f t="shared" si="21"/>
        <v>-90</v>
      </c>
      <c r="L20" s="6">
        <f t="shared" si="21"/>
        <v>152</v>
      </c>
      <c r="M20" s="6">
        <f t="shared" si="21"/>
        <v>-131</v>
      </c>
      <c r="N20" s="6">
        <f t="shared" si="21"/>
        <v>-61</v>
      </c>
      <c r="O20" s="6">
        <f t="shared" si="21"/>
        <v>-140</v>
      </c>
      <c r="P20" s="6">
        <f t="shared" si="21"/>
        <v>7</v>
      </c>
      <c r="T20" s="6">
        <f t="shared" ref="T20:AS20" si="22">+T18-T19</f>
        <v>146</v>
      </c>
      <c r="U20" s="6">
        <f t="shared" si="22"/>
        <v>669</v>
      </c>
      <c r="V20" s="6">
        <f t="shared" si="22"/>
        <v>719</v>
      </c>
      <c r="W20" s="6">
        <f t="shared" si="22"/>
        <v>1115</v>
      </c>
      <c r="X20" s="6">
        <f t="shared" si="22"/>
        <v>178</v>
      </c>
      <c r="Y20" s="6">
        <f t="shared" si="22"/>
        <v>554</v>
      </c>
      <c r="Z20" s="6">
        <f t="shared" si="22"/>
        <v>-1331</v>
      </c>
      <c r="AA20" s="6">
        <f t="shared" si="22"/>
        <v>-174</v>
      </c>
      <c r="AB20" s="6">
        <f t="shared" si="22"/>
        <v>-350</v>
      </c>
      <c r="AC20" s="6">
        <f t="shared" si="22"/>
        <v>-327</v>
      </c>
      <c r="AD20" s="6">
        <f t="shared" si="22"/>
        <v>-308.94000000000233</v>
      </c>
      <c r="AE20" s="6">
        <f t="shared" si="22"/>
        <v>-257.55519999999945</v>
      </c>
      <c r="AF20" s="6">
        <f t="shared" si="22"/>
        <v>-202.46930599999794</v>
      </c>
      <c r="AG20" s="6">
        <f t="shared" si="22"/>
        <v>-142.96516587999929</v>
      </c>
      <c r="AH20" s="6">
        <f t="shared" si="22"/>
        <v>-78.312105085397178</v>
      </c>
      <c r="AI20" s="6">
        <f t="shared" si="22"/>
        <v>-7.7601784257558677</v>
      </c>
      <c r="AJ20" s="6">
        <f t="shared" si="22"/>
        <v>69.4653888576361</v>
      </c>
      <c r="AK20" s="6">
        <f t="shared" si="22"/>
        <v>154.16962557900638</v>
      </c>
      <c r="AL20" s="6">
        <f t="shared" si="22"/>
        <v>247.19315487437098</v>
      </c>
      <c r="AM20" s="6">
        <f t="shared" si="22"/>
        <v>349.41749654131013</v>
      </c>
      <c r="AN20" s="6">
        <f t="shared" si="22"/>
        <v>461.77037441442781</v>
      </c>
      <c r="AO20" s="6">
        <f t="shared" si="22"/>
        <v>585.23106893864144</v>
      </c>
      <c r="AP20" s="6">
        <f t="shared" si="22"/>
        <v>720.83585277869031</v>
      </c>
      <c r="AQ20" s="6">
        <f t="shared" si="22"/>
        <v>869.68354540732832</v>
      </c>
      <c r="AR20" s="6">
        <f t="shared" si="22"/>
        <v>1032.941221102815</v>
      </c>
      <c r="AS20" s="6">
        <f t="shared" si="22"/>
        <v>1211.850103622917</v>
      </c>
      <c r="AT20" s="6">
        <f t="shared" ref="AT20:BY20" si="23">+AS20*(1+$AV$24)</f>
        <v>1187.6131015504586</v>
      </c>
      <c r="AU20" s="6">
        <f t="shared" si="23"/>
        <v>1163.8608395194494</v>
      </c>
      <c r="AV20" s="6">
        <f t="shared" si="23"/>
        <v>1140.5836227290604</v>
      </c>
      <c r="AW20" s="6">
        <f t="shared" si="23"/>
        <v>1117.7719502744792</v>
      </c>
      <c r="AX20" s="6">
        <f t="shared" si="23"/>
        <v>1095.4165112689896</v>
      </c>
      <c r="AY20" s="6">
        <f t="shared" si="23"/>
        <v>1073.5081810436097</v>
      </c>
      <c r="AZ20" s="6">
        <f t="shared" si="23"/>
        <v>1052.0380174227375</v>
      </c>
      <c r="BA20" s="6">
        <f t="shared" si="23"/>
        <v>1030.9972570742827</v>
      </c>
      <c r="BB20" s="6">
        <f t="shared" si="23"/>
        <v>1010.3773119327971</v>
      </c>
      <c r="BC20" s="6">
        <f t="shared" si="23"/>
        <v>990.16976569414112</v>
      </c>
      <c r="BD20" s="6">
        <f t="shared" si="23"/>
        <v>970.36637038025833</v>
      </c>
      <c r="BE20" s="6">
        <f t="shared" si="23"/>
        <v>950.95904297265315</v>
      </c>
      <c r="BF20" s="6">
        <f t="shared" si="23"/>
        <v>931.93986211320009</v>
      </c>
      <c r="BG20" s="6">
        <f t="shared" si="23"/>
        <v>913.3010648709361</v>
      </c>
      <c r="BH20" s="6">
        <f t="shared" si="23"/>
        <v>895.03504357351733</v>
      </c>
      <c r="BI20" s="6">
        <f t="shared" si="23"/>
        <v>877.13434270204698</v>
      </c>
      <c r="BJ20" s="6">
        <f t="shared" si="23"/>
        <v>859.59165584800598</v>
      </c>
      <c r="BK20" s="6">
        <f t="shared" si="23"/>
        <v>842.3998227310459</v>
      </c>
      <c r="BL20" s="6">
        <f t="shared" si="23"/>
        <v>825.551826276425</v>
      </c>
      <c r="BM20" s="6">
        <f t="shared" si="23"/>
        <v>809.04078975089647</v>
      </c>
      <c r="BN20" s="6">
        <f t="shared" si="23"/>
        <v>792.85997395587856</v>
      </c>
      <c r="BO20" s="6">
        <f t="shared" si="23"/>
        <v>777.00277447676092</v>
      </c>
      <c r="BP20" s="6">
        <f t="shared" si="23"/>
        <v>761.46271898722568</v>
      </c>
      <c r="BQ20" s="6">
        <f t="shared" si="23"/>
        <v>746.23346460748121</v>
      </c>
      <c r="BR20" s="6">
        <f t="shared" si="23"/>
        <v>731.30879531533162</v>
      </c>
      <c r="BS20" s="6">
        <f t="shared" si="23"/>
        <v>716.68261940902494</v>
      </c>
      <c r="BT20" s="6">
        <f t="shared" si="23"/>
        <v>702.34896702084438</v>
      </c>
      <c r="BU20" s="6">
        <f t="shared" si="23"/>
        <v>688.30198768042749</v>
      </c>
      <c r="BV20" s="6">
        <f t="shared" si="23"/>
        <v>674.53594792681895</v>
      </c>
      <c r="BW20" s="6">
        <f t="shared" si="23"/>
        <v>661.04522896828257</v>
      </c>
      <c r="BX20" s="6">
        <f t="shared" si="23"/>
        <v>647.82432438891692</v>
      </c>
      <c r="BY20" s="6">
        <f t="shared" si="23"/>
        <v>634.86783790113861</v>
      </c>
      <c r="BZ20" s="6">
        <f t="shared" ref="BZ20:DE20" si="24">+BY20*(1+$AV$24)</f>
        <v>622.17048114311581</v>
      </c>
      <c r="CA20" s="6">
        <f t="shared" si="24"/>
        <v>609.7270715202535</v>
      </c>
      <c r="CB20" s="6">
        <f t="shared" si="24"/>
        <v>597.53253008984848</v>
      </c>
      <c r="CC20" s="6">
        <f t="shared" si="24"/>
        <v>585.58187948805153</v>
      </c>
      <c r="CD20" s="6">
        <f t="shared" si="24"/>
        <v>573.87024189829049</v>
      </c>
      <c r="CE20" s="6">
        <f t="shared" si="24"/>
        <v>562.39283706032472</v>
      </c>
      <c r="CF20" s="6">
        <f t="shared" si="24"/>
        <v>551.14498031911819</v>
      </c>
      <c r="CG20" s="6">
        <f t="shared" si="24"/>
        <v>540.12208071273585</v>
      </c>
      <c r="CH20" s="6">
        <f t="shared" si="24"/>
        <v>529.31963909848116</v>
      </c>
      <c r="CI20" s="6">
        <f t="shared" si="24"/>
        <v>518.73324631651155</v>
      </c>
      <c r="CJ20" s="6">
        <f t="shared" si="24"/>
        <v>508.35858139018131</v>
      </c>
      <c r="CK20" s="6">
        <f t="shared" si="24"/>
        <v>498.1914097623777</v>
      </c>
      <c r="CL20" s="6">
        <f t="shared" si="24"/>
        <v>488.22758156713013</v>
      </c>
      <c r="CM20" s="6">
        <f t="shared" si="24"/>
        <v>478.46302993578752</v>
      </c>
      <c r="CN20" s="6">
        <f t="shared" si="24"/>
        <v>468.89376933707177</v>
      </c>
      <c r="CO20" s="6">
        <f t="shared" si="24"/>
        <v>459.51589395033034</v>
      </c>
      <c r="CP20" s="6">
        <f t="shared" si="24"/>
        <v>450.32557607132372</v>
      </c>
      <c r="CQ20" s="6">
        <f t="shared" si="24"/>
        <v>441.31906454989723</v>
      </c>
      <c r="CR20" s="6">
        <f t="shared" si="24"/>
        <v>432.49268325889926</v>
      </c>
      <c r="CS20" s="6">
        <f t="shared" si="24"/>
        <v>423.84282959372126</v>
      </c>
      <c r="CT20" s="6">
        <f t="shared" si="24"/>
        <v>415.36597300184684</v>
      </c>
      <c r="CU20" s="6">
        <f t="shared" si="24"/>
        <v>407.05865354180992</v>
      </c>
      <c r="CV20" s="6">
        <f t="shared" si="24"/>
        <v>398.91748047097371</v>
      </c>
      <c r="CW20" s="6">
        <f t="shared" si="24"/>
        <v>390.93913086155425</v>
      </c>
      <c r="CX20" s="6">
        <f t="shared" si="24"/>
        <v>383.12034824432317</v>
      </c>
      <c r="CY20" s="6">
        <f t="shared" si="24"/>
        <v>375.45794127943668</v>
      </c>
      <c r="CZ20" s="6">
        <f t="shared" si="24"/>
        <v>367.94878245384797</v>
      </c>
      <c r="DA20" s="6">
        <f t="shared" si="24"/>
        <v>360.589806804771</v>
      </c>
      <c r="DB20" s="6">
        <f t="shared" si="24"/>
        <v>353.37801066867559</v>
      </c>
      <c r="DC20" s="6">
        <f t="shared" si="24"/>
        <v>346.31045045530209</v>
      </c>
      <c r="DD20" s="6">
        <f t="shared" si="24"/>
        <v>339.38424144619603</v>
      </c>
      <c r="DE20" s="6">
        <f t="shared" si="24"/>
        <v>332.59655661727209</v>
      </c>
      <c r="DF20" s="6">
        <f t="shared" ref="DF20:EP20" si="25">+DE20*(1+$AV$24)</f>
        <v>325.94462548492663</v>
      </c>
      <c r="DG20" s="6">
        <f t="shared" si="25"/>
        <v>319.42573297522807</v>
      </c>
      <c r="DH20" s="6">
        <f t="shared" si="25"/>
        <v>313.03721831572352</v>
      </c>
      <c r="DI20" s="6">
        <f t="shared" si="25"/>
        <v>306.77647394940902</v>
      </c>
      <c r="DJ20" s="6">
        <f t="shared" si="25"/>
        <v>300.64094447042083</v>
      </c>
      <c r="DK20" s="6">
        <f t="shared" si="25"/>
        <v>294.6281255810124</v>
      </c>
      <c r="DL20" s="6">
        <f t="shared" si="25"/>
        <v>288.73556306939213</v>
      </c>
      <c r="DM20" s="6">
        <f t="shared" si="25"/>
        <v>282.96085180800429</v>
      </c>
      <c r="DN20" s="6">
        <f t="shared" si="25"/>
        <v>277.30163477184419</v>
      </c>
      <c r="DO20" s="6">
        <f t="shared" si="25"/>
        <v>271.75560207640729</v>
      </c>
      <c r="DP20" s="6">
        <f t="shared" si="25"/>
        <v>266.32049003487913</v>
      </c>
      <c r="DQ20" s="6">
        <f t="shared" si="25"/>
        <v>260.99408023418152</v>
      </c>
      <c r="DR20" s="6">
        <f t="shared" si="25"/>
        <v>255.7741986294979</v>
      </c>
      <c r="DS20" s="6">
        <f t="shared" si="25"/>
        <v>250.65871465690793</v>
      </c>
      <c r="DT20" s="6">
        <f t="shared" si="25"/>
        <v>245.64554036376978</v>
      </c>
      <c r="DU20" s="6">
        <f t="shared" si="25"/>
        <v>240.73262955649437</v>
      </c>
      <c r="DV20" s="6">
        <f t="shared" si="25"/>
        <v>235.91797696536449</v>
      </c>
      <c r="DW20" s="6">
        <f t="shared" si="25"/>
        <v>231.19961742605719</v>
      </c>
      <c r="DX20" s="6">
        <f t="shared" si="25"/>
        <v>226.57562507753605</v>
      </c>
      <c r="DY20" s="6">
        <f t="shared" si="25"/>
        <v>222.04411257598531</v>
      </c>
      <c r="DZ20" s="6">
        <f t="shared" si="25"/>
        <v>217.60323032446561</v>
      </c>
      <c r="EA20" s="6">
        <f t="shared" si="25"/>
        <v>213.25116571797631</v>
      </c>
      <c r="EB20" s="6">
        <f t="shared" si="25"/>
        <v>208.98614240361678</v>
      </c>
      <c r="EC20" s="6">
        <f t="shared" si="25"/>
        <v>204.80641955554444</v>
      </c>
      <c r="ED20" s="6">
        <f t="shared" si="25"/>
        <v>200.71029116443356</v>
      </c>
      <c r="EE20" s="6">
        <f t="shared" si="25"/>
        <v>196.69608534114488</v>
      </c>
      <c r="EF20" s="6">
        <f t="shared" si="25"/>
        <v>192.76216363432198</v>
      </c>
      <c r="EG20" s="6">
        <f t="shared" si="25"/>
        <v>188.90692036163554</v>
      </c>
      <c r="EH20" s="6">
        <f t="shared" si="25"/>
        <v>185.12878195440283</v>
      </c>
      <c r="EI20" s="6">
        <f t="shared" si="25"/>
        <v>181.42620631531477</v>
      </c>
      <c r="EJ20" s="6">
        <f t="shared" si="25"/>
        <v>177.79768218900847</v>
      </c>
      <c r="EK20" s="6">
        <f t="shared" si="25"/>
        <v>174.24172854522828</v>
      </c>
      <c r="EL20" s="6">
        <f t="shared" si="25"/>
        <v>170.7568939743237</v>
      </c>
      <c r="EM20" s="6">
        <f t="shared" si="25"/>
        <v>167.34175609483722</v>
      </c>
      <c r="EN20" s="6">
        <f t="shared" si="25"/>
        <v>163.99492097294046</v>
      </c>
      <c r="EO20" s="6">
        <f t="shared" si="25"/>
        <v>160.71502255348165</v>
      </c>
      <c r="EP20" s="6">
        <f t="shared" si="25"/>
        <v>157.500722102412</v>
      </c>
    </row>
    <row r="21" spans="2:146" x14ac:dyDescent="0.2">
      <c r="B21" s="2" t="s">
        <v>61</v>
      </c>
      <c r="C21" s="7">
        <f t="shared" ref="C21:P21" si="26">+C20/C22</f>
        <v>-1.6728971962616823</v>
      </c>
      <c r="D21" s="7">
        <f t="shared" si="26"/>
        <v>-0.42990654205607476</v>
      </c>
      <c r="E21" s="7">
        <f t="shared" si="26"/>
        <v>-0.30258343202441895</v>
      </c>
      <c r="F21" s="7">
        <f t="shared" si="26"/>
        <v>-0.72680015544909404</v>
      </c>
      <c r="G21" s="7">
        <f t="shared" si="26"/>
        <v>-0.80062305295950154</v>
      </c>
      <c r="H21" s="7">
        <f t="shared" si="26"/>
        <v>-0.4261174617794638</v>
      </c>
      <c r="I21" s="7">
        <f t="shared" si="26"/>
        <v>0.21921860891565048</v>
      </c>
      <c r="J21" s="7">
        <f t="shared" si="26"/>
        <v>0.26942436675769121</v>
      </c>
      <c r="K21" s="7">
        <f t="shared" si="26"/>
        <v>-0.26548672566371684</v>
      </c>
      <c r="L21" s="7">
        <f t="shared" si="26"/>
        <v>0.43804034582132567</v>
      </c>
      <c r="M21" s="7">
        <f t="shared" si="26"/>
        <v>-0.39305189149681918</v>
      </c>
      <c r="N21" s="7">
        <f t="shared" si="26"/>
        <v>-0.179536855073473</v>
      </c>
      <c r="O21" s="7">
        <f t="shared" si="26"/>
        <v>-0.41176470588235292</v>
      </c>
      <c r="P21" s="7">
        <f t="shared" si="26"/>
        <v>2.0172910662824207E-2</v>
      </c>
      <c r="T21" s="7">
        <f t="shared" ref="T21:AS21" si="27">+T20/T22</f>
        <v>0.47096774193548385</v>
      </c>
      <c r="U21" s="7">
        <f t="shared" si="27"/>
        <v>2.0776397515527951</v>
      </c>
      <c r="V21" s="7">
        <f t="shared" si="27"/>
        <v>2.1333018684659413</v>
      </c>
      <c r="W21" s="7">
        <f t="shared" si="27"/>
        <v>3.4735202492211839</v>
      </c>
      <c r="X21" s="7">
        <f t="shared" si="27"/>
        <v>0.5816993464052288</v>
      </c>
      <c r="Y21" s="7">
        <f t="shared" si="27"/>
        <v>1.9631338418338997</v>
      </c>
      <c r="Z21" s="7">
        <f t="shared" si="27"/>
        <v>-4.212025316455696</v>
      </c>
      <c r="AA21" s="7">
        <f t="shared" si="27"/>
        <v>-0.54374999999999996</v>
      </c>
      <c r="AB21" s="7">
        <f t="shared" si="27"/>
        <v>-1.070336391437309</v>
      </c>
      <c r="AC21" s="7">
        <f t="shared" si="27"/>
        <v>-0.96460176991150437</v>
      </c>
      <c r="AD21" s="7">
        <f t="shared" si="27"/>
        <v>-0.90230438973101534</v>
      </c>
      <c r="AE21" s="7">
        <f t="shared" si="27"/>
        <v>-0.74477977895046865</v>
      </c>
      <c r="AF21" s="7">
        <f t="shared" si="27"/>
        <v>-0.5796894208299278</v>
      </c>
      <c r="AG21" s="7">
        <f t="shared" si="27"/>
        <v>-0.40527054382420263</v>
      </c>
      <c r="AH21" s="7">
        <f t="shared" si="27"/>
        <v>-0.21979728882893629</v>
      </c>
      <c r="AI21" s="7">
        <f t="shared" si="27"/>
        <v>-2.1564717140725092E-2</v>
      </c>
      <c r="AJ21" s="7">
        <f t="shared" si="27"/>
        <v>0.19112572968958425</v>
      </c>
      <c r="AK21" s="7">
        <f t="shared" si="27"/>
        <v>0.41997953580705699</v>
      </c>
      <c r="AL21" s="7">
        <f t="shared" si="27"/>
        <v>0.66672137398566955</v>
      </c>
      <c r="AM21" s="7">
        <f t="shared" si="27"/>
        <v>0.93310649368828513</v>
      </c>
      <c r="AN21" s="7">
        <f t="shared" si="27"/>
        <v>1.2209313824033297</v>
      </c>
      <c r="AO21" s="7">
        <f t="shared" si="27"/>
        <v>1.5320438310639972</v>
      </c>
      <c r="AP21" s="7">
        <f t="shared" si="27"/>
        <v>1.8683525193253163</v>
      </c>
      <c r="AQ21" s="7">
        <f t="shared" si="27"/>
        <v>2.2318362234646596</v>
      </c>
      <c r="AR21" s="7">
        <f t="shared" si="27"/>
        <v>2.6245527384232861</v>
      </c>
      <c r="AS21" s="7">
        <f t="shared" si="27"/>
        <v>3.0486475958010333</v>
      </c>
    </row>
    <row r="22" spans="2:146" x14ac:dyDescent="0.2">
      <c r="B22" s="2" t="s">
        <v>60</v>
      </c>
      <c r="C22" s="2">
        <v>321</v>
      </c>
      <c r="D22" s="2">
        <v>321</v>
      </c>
      <c r="E22" s="2">
        <v>323.87761399999999</v>
      </c>
      <c r="F22" s="2">
        <f>+AVERAGE(C22:E22)</f>
        <v>321.95920466666666</v>
      </c>
      <c r="G22" s="2">
        <v>321</v>
      </c>
      <c r="H22" s="2">
        <v>323.85436499999997</v>
      </c>
      <c r="I22" s="2">
        <v>323.87761399999999</v>
      </c>
      <c r="J22" s="2">
        <f>+AVERAGE(G22:I22)</f>
        <v>322.91065966666662</v>
      </c>
      <c r="K22" s="2">
        <v>339</v>
      </c>
      <c r="L22" s="2">
        <v>347</v>
      </c>
      <c r="M22" s="2">
        <v>333.28932600000002</v>
      </c>
      <c r="N22" s="2">
        <f>+AVERAGE(K22:M22)</f>
        <v>339.76310866666671</v>
      </c>
      <c r="O22" s="2">
        <v>340</v>
      </c>
      <c r="P22" s="2">
        <v>347</v>
      </c>
      <c r="S22" s="4"/>
      <c r="T22" s="2">
        <v>310</v>
      </c>
      <c r="U22" s="2">
        <v>322</v>
      </c>
      <c r="V22" s="2">
        <v>337.03622100000001</v>
      </c>
      <c r="W22" s="2">
        <v>321</v>
      </c>
      <c r="X22" s="2">
        <v>306</v>
      </c>
      <c r="Y22" s="2">
        <v>282.20184899999998</v>
      </c>
      <c r="Z22" s="2">
        <v>316</v>
      </c>
      <c r="AA22" s="2">
        <v>320</v>
      </c>
      <c r="AB22" s="2">
        <v>327</v>
      </c>
      <c r="AC22" s="2">
        <v>339</v>
      </c>
      <c r="AD22" s="2">
        <f t="shared" ref="AD22:AS22" si="28">+AC22*1.01</f>
        <v>342.39</v>
      </c>
      <c r="AE22" s="2">
        <f t="shared" si="28"/>
        <v>345.81389999999999</v>
      </c>
      <c r="AF22" s="2">
        <f t="shared" si="28"/>
        <v>349.27203900000001</v>
      </c>
      <c r="AG22" s="2">
        <f t="shared" si="28"/>
        <v>352.76475938999999</v>
      </c>
      <c r="AH22" s="2">
        <f t="shared" si="28"/>
        <v>356.29240698389998</v>
      </c>
      <c r="AI22" s="2">
        <f t="shared" si="28"/>
        <v>359.85533105373901</v>
      </c>
      <c r="AJ22" s="2">
        <f t="shared" si="28"/>
        <v>363.4538843642764</v>
      </c>
      <c r="AK22" s="2">
        <f t="shared" si="28"/>
        <v>367.08842320791916</v>
      </c>
      <c r="AL22" s="2">
        <f t="shared" si="28"/>
        <v>370.75930743999834</v>
      </c>
      <c r="AM22" s="2">
        <f t="shared" si="28"/>
        <v>374.46690051439833</v>
      </c>
      <c r="AN22" s="2">
        <f t="shared" si="28"/>
        <v>378.21156951954231</v>
      </c>
      <c r="AO22" s="2">
        <f t="shared" si="28"/>
        <v>381.99368521473775</v>
      </c>
      <c r="AP22" s="2">
        <f t="shared" si="28"/>
        <v>385.81362206688516</v>
      </c>
      <c r="AQ22" s="2">
        <f t="shared" si="28"/>
        <v>389.67175828755404</v>
      </c>
      <c r="AR22" s="2">
        <f t="shared" si="28"/>
        <v>393.56847587042961</v>
      </c>
      <c r="AS22" s="2">
        <f t="shared" si="28"/>
        <v>397.50416062913393</v>
      </c>
    </row>
    <row r="24" spans="2:146" s="4" customFormat="1" x14ac:dyDescent="0.2">
      <c r="B24" s="4" t="s">
        <v>59</v>
      </c>
      <c r="C24" s="4">
        <f t="shared" ref="C24:P24" si="29">+C15/C4</f>
        <v>-0.7953615279672579</v>
      </c>
      <c r="D24" s="4">
        <f t="shared" si="29"/>
        <v>-2.8220858895705522E-2</v>
      </c>
      <c r="E24" s="4">
        <f t="shared" si="29"/>
        <v>0</v>
      </c>
      <c r="F24" s="4">
        <f t="shared" si="29"/>
        <v>-0.29425028184892899</v>
      </c>
      <c r="G24" s="4">
        <f t="shared" si="29"/>
        <v>-0.21140552995391704</v>
      </c>
      <c r="H24" s="4">
        <f t="shared" si="29"/>
        <v>-2.8220858895705522E-2</v>
      </c>
      <c r="I24" s="4">
        <f t="shared" si="29"/>
        <v>5.9328649492583922E-2</v>
      </c>
      <c r="J24" s="4">
        <f t="shared" si="29"/>
        <v>4.0993788819875775E-2</v>
      </c>
      <c r="K24" s="4">
        <f t="shared" si="29"/>
        <v>-5.5841924398625432E-2</v>
      </c>
      <c r="L24" s="4">
        <f t="shared" si="29"/>
        <v>9.9233716475095782E-2</v>
      </c>
      <c r="M24" s="4">
        <f t="shared" si="29"/>
        <v>-5.227369315767106E-2</v>
      </c>
      <c r="N24" s="4">
        <f t="shared" si="29"/>
        <v>-1.6781411359724614E-2</v>
      </c>
      <c r="O24" s="4">
        <f t="shared" si="29"/>
        <v>-7.1072883657763694E-2</v>
      </c>
      <c r="P24" s="4">
        <f t="shared" si="29"/>
        <v>2.3887973640856673E-2</v>
      </c>
      <c r="T24" s="4">
        <f t="shared" ref="T24:AS24" si="30">+T15/T4</f>
        <v>8.8533608389204058E-2</v>
      </c>
      <c r="U24" s="4">
        <f t="shared" si="30"/>
        <v>0.18952618453865336</v>
      </c>
      <c r="V24" s="4">
        <f t="shared" si="30"/>
        <v>0.19137302551640339</v>
      </c>
      <c r="W24" s="4">
        <f t="shared" si="30"/>
        <v>0.14161437535653165</v>
      </c>
      <c r="X24" s="4">
        <f t="shared" si="30"/>
        <v>3.7607730477931575E-2</v>
      </c>
      <c r="Y24" s="4">
        <f t="shared" si="30"/>
        <v>9.8838645910551026E-2</v>
      </c>
      <c r="Z24" s="4">
        <f t="shared" si="30"/>
        <v>-0.57964152857625972</v>
      </c>
      <c r="AA24" s="4">
        <f t="shared" si="30"/>
        <v>-1.3251615040583071E-2</v>
      </c>
      <c r="AB24" s="4">
        <f t="shared" si="30"/>
        <v>-3.2539855863725702E-2</v>
      </c>
      <c r="AC24" s="4">
        <f t="shared" si="30"/>
        <v>-2.3920956838273531E-2</v>
      </c>
      <c r="AD24" s="4">
        <f t="shared" si="30"/>
        <v>-1.6659485427036359E-2</v>
      </c>
      <c r="AE24" s="4">
        <f t="shared" si="30"/>
        <v>-1.0002389029801493E-2</v>
      </c>
      <c r="AF24" s="4">
        <f t="shared" si="30"/>
        <v>-3.8608258801789475E-3</v>
      </c>
      <c r="AG24" s="4">
        <f t="shared" si="30"/>
        <v>1.8398932837667486E-3</v>
      </c>
      <c r="AH24" s="4">
        <f t="shared" si="30"/>
        <v>7.1625879039132097E-3</v>
      </c>
      <c r="AI24" s="4">
        <f t="shared" si="30"/>
        <v>1.2160121090855057E-2</v>
      </c>
      <c r="AJ24" s="4">
        <f t="shared" si="30"/>
        <v>1.6877003673875995E-2</v>
      </c>
      <c r="AK24" s="4">
        <f t="shared" si="30"/>
        <v>2.1350738894836963E-2</v>
      </c>
      <c r="AL24" s="4">
        <f t="shared" si="30"/>
        <v>2.5612949720895825E-2</v>
      </c>
      <c r="AM24" s="4">
        <f t="shared" si="30"/>
        <v>2.969032395576509E-2</v>
      </c>
      <c r="AN24" s="4">
        <f t="shared" si="30"/>
        <v>3.3605406634192349E-2</v>
      </c>
      <c r="AO24" s="4">
        <f t="shared" si="30"/>
        <v>3.7377264411322005E-2</v>
      </c>
      <c r="AP24" s="4">
        <f t="shared" si="30"/>
        <v>4.1022042658309249E-2</v>
      </c>
      <c r="AQ24" s="4">
        <f t="shared" si="30"/>
        <v>4.4553432622929552E-2</v>
      </c>
      <c r="AR24" s="4">
        <f t="shared" si="30"/>
        <v>4.7983063204036856E-2</v>
      </c>
      <c r="AS24" s="4">
        <f t="shared" si="30"/>
        <v>5.1320829533780171E-2</v>
      </c>
      <c r="AU24" s="4" t="s">
        <v>58</v>
      </c>
      <c r="AV24" s="4">
        <v>-0.02</v>
      </c>
    </row>
    <row r="25" spans="2:146" s="4" customFormat="1" x14ac:dyDescent="0.2">
      <c r="B25" s="4" t="s">
        <v>57</v>
      </c>
      <c r="C25" s="4">
        <f t="shared" ref="C25:P25" si="31">+C20/C4</f>
        <v>-0.73260572987721695</v>
      </c>
      <c r="D25" s="4">
        <f t="shared" si="31"/>
        <v>-5.6441717791411043E-2</v>
      </c>
      <c r="E25" s="4">
        <f t="shared" si="31"/>
        <v>-4.9695740365111561E-2</v>
      </c>
      <c r="F25" s="4">
        <f t="shared" si="31"/>
        <v>-0.26381059751972941</v>
      </c>
      <c r="G25" s="4">
        <f t="shared" si="31"/>
        <v>-0.14804147465437789</v>
      </c>
      <c r="H25" s="4">
        <f t="shared" si="31"/>
        <v>-5.6441717791411043E-2</v>
      </c>
      <c r="I25" s="4">
        <f t="shared" si="31"/>
        <v>2.7712724434035909E-2</v>
      </c>
      <c r="J25" s="4">
        <f t="shared" si="31"/>
        <v>3.6024844720496892E-2</v>
      </c>
      <c r="K25" s="4">
        <f t="shared" si="31"/>
        <v>-3.8659793814432991E-2</v>
      </c>
      <c r="L25" s="4">
        <f t="shared" si="31"/>
        <v>5.8237547892720308E-2</v>
      </c>
      <c r="M25" s="4">
        <f t="shared" si="31"/>
        <v>-5.5673608159796002E-2</v>
      </c>
      <c r="N25" s="4">
        <f t="shared" si="31"/>
        <v>-2.6247848537005163E-2</v>
      </c>
      <c r="O25" s="4">
        <f t="shared" si="31"/>
        <v>-6.3377093707559978E-2</v>
      </c>
      <c r="P25" s="4">
        <f t="shared" si="31"/>
        <v>2.883031301482702E-3</v>
      </c>
      <c r="T25" s="4">
        <f t="shared" ref="T25:AS25" si="32">+T20/T4</f>
        <v>2.5098848203541343E-2</v>
      </c>
      <c r="U25" s="4">
        <f t="shared" si="32"/>
        <v>0.10427057356608478</v>
      </c>
      <c r="V25" s="4">
        <f t="shared" si="32"/>
        <v>0.10920413122721749</v>
      </c>
      <c r="W25" s="4">
        <f t="shared" si="32"/>
        <v>0.15901312036508841</v>
      </c>
      <c r="X25" s="4">
        <f t="shared" si="32"/>
        <v>2.3243666753721599E-2</v>
      </c>
      <c r="Y25" s="4">
        <f t="shared" si="32"/>
        <v>6.8445762293056586E-2</v>
      </c>
      <c r="Z25" s="4">
        <f t="shared" si="32"/>
        <v>-0.450118363205952</v>
      </c>
      <c r="AA25" s="4">
        <f t="shared" si="32"/>
        <v>-2.8822262713268178E-2</v>
      </c>
      <c r="AB25" s="4">
        <f t="shared" si="32"/>
        <v>-3.8217951517798644E-2</v>
      </c>
      <c r="AC25" s="4">
        <f t="shared" si="32"/>
        <v>-3.4009360374414974E-2</v>
      </c>
      <c r="AD25" s="4">
        <f t="shared" si="32"/>
        <v>-3.0600995468390395E-2</v>
      </c>
      <c r="AE25" s="4">
        <f t="shared" si="32"/>
        <v>-2.4296428365071059E-2</v>
      </c>
      <c r="AF25" s="4">
        <f t="shared" si="32"/>
        <v>-1.8190389919019528E-2</v>
      </c>
      <c r="AG25" s="4">
        <f t="shared" si="32"/>
        <v>-1.2232740070567585E-2</v>
      </c>
      <c r="AH25" s="4">
        <f t="shared" si="32"/>
        <v>-6.3816519485841239E-3</v>
      </c>
      <c r="AI25" s="4">
        <f t="shared" si="32"/>
        <v>-6.022636112268762E-4</v>
      </c>
      <c r="AJ25" s="4">
        <f t="shared" si="32"/>
        <v>5.1344518930162182E-3</v>
      </c>
      <c r="AK25" s="4">
        <f t="shared" si="32"/>
        <v>1.0852633491533668E-2</v>
      </c>
      <c r="AL25" s="4">
        <f t="shared" si="32"/>
        <v>1.6572325705670968E-2</v>
      </c>
      <c r="AM25" s="4">
        <f t="shared" si="32"/>
        <v>2.2310143748907191E-2</v>
      </c>
      <c r="AN25" s="4">
        <f t="shared" si="32"/>
        <v>2.8079830913552324E-2</v>
      </c>
      <c r="AO25" s="4">
        <f t="shared" si="32"/>
        <v>3.3892725685396384E-2</v>
      </c>
      <c r="AP25" s="4">
        <f t="shared" si="32"/>
        <v>3.9758153202199449E-2</v>
      </c>
      <c r="AQ25" s="4">
        <f t="shared" si="32"/>
        <v>4.5683753305539726E-2</v>
      </c>
      <c r="AR25" s="4">
        <f t="shared" si="32"/>
        <v>5.1675755452253683E-2</v>
      </c>
      <c r="AS25" s="4">
        <f t="shared" si="32"/>
        <v>5.7739209089561136E-2</v>
      </c>
      <c r="AU25" s="4" t="s">
        <v>56</v>
      </c>
      <c r="AV25" s="4">
        <v>7.0000000000000007E-2</v>
      </c>
    </row>
    <row r="26" spans="2:146" s="4" customFormat="1" x14ac:dyDescent="0.2">
      <c r="B26" s="4" t="s">
        <v>55</v>
      </c>
      <c r="C26" s="9" t="s">
        <v>54</v>
      </c>
      <c r="D26" s="9" t="s">
        <v>54</v>
      </c>
      <c r="E26" s="9" t="s">
        <v>54</v>
      </c>
      <c r="F26" s="9" t="s">
        <v>54</v>
      </c>
      <c r="G26" s="9" t="s">
        <v>54</v>
      </c>
      <c r="H26" s="9" t="s">
        <v>54</v>
      </c>
      <c r="I26" s="9">
        <f>+I19/I18</f>
        <v>0.40336134453781514</v>
      </c>
      <c r="J26" s="9" t="s">
        <v>54</v>
      </c>
      <c r="K26" s="9" t="s">
        <v>54</v>
      </c>
      <c r="L26" s="4">
        <f>+L19/L18</f>
        <v>0.33913043478260868</v>
      </c>
      <c r="M26" s="9" t="s">
        <v>54</v>
      </c>
      <c r="N26" s="9" t="s">
        <v>54</v>
      </c>
      <c r="O26" s="9" t="s">
        <v>54</v>
      </c>
      <c r="P26" s="4">
        <f>+P19/P18</f>
        <v>0.46153846153846156</v>
      </c>
      <c r="T26" s="9">
        <f>+T19/T18</f>
        <v>0.60326086956521741</v>
      </c>
      <c r="U26" s="9">
        <f>+U19/U18</f>
        <v>0.38567493112947659</v>
      </c>
      <c r="V26" s="9">
        <f>+V19/V18</f>
        <v>0.37802768166089967</v>
      </c>
      <c r="W26" s="9" t="s">
        <v>54</v>
      </c>
      <c r="X26" s="9">
        <f>+X19/X18</f>
        <v>0.14832535885167464</v>
      </c>
      <c r="Y26" s="9">
        <f>+Y19/Y18</f>
        <v>0.2642762284196547</v>
      </c>
      <c r="Z26" s="9" t="s">
        <v>54</v>
      </c>
      <c r="AA26" s="9" t="s">
        <v>54</v>
      </c>
      <c r="AB26" s="9" t="s">
        <v>54</v>
      </c>
      <c r="AC26" s="9" t="s">
        <v>54</v>
      </c>
      <c r="AU26" s="4" t="s">
        <v>53</v>
      </c>
      <c r="AV26" s="2">
        <f>NPV(AV25,AD20:EP20)</f>
        <v>5965.762472608797</v>
      </c>
    </row>
    <row r="27" spans="2:146" s="4" customFormat="1" x14ac:dyDescent="0.2">
      <c r="AU27" s="4" t="s">
        <v>49</v>
      </c>
      <c r="AV27" s="2">
        <f>+AC30</f>
        <v>-3924</v>
      </c>
    </row>
    <row r="28" spans="2:146" s="8" customFormat="1" x14ac:dyDescent="0.2">
      <c r="B28" s="8" t="s">
        <v>52</v>
      </c>
      <c r="G28" s="8">
        <f t="shared" ref="G28:P28" si="33">+G4/C4-1</f>
        <v>1.368349249658936</v>
      </c>
      <c r="H28" s="8">
        <f t="shared" si="33"/>
        <v>0</v>
      </c>
      <c r="I28" s="8">
        <f t="shared" si="33"/>
        <v>0.29918864097363085</v>
      </c>
      <c r="J28" s="8">
        <f t="shared" si="33"/>
        <v>1.7226606538895153</v>
      </c>
      <c r="K28" s="8">
        <f t="shared" si="33"/>
        <v>0.3410138248847927</v>
      </c>
      <c r="L28" s="8">
        <f t="shared" si="33"/>
        <v>6.7484662576687171E-2</v>
      </c>
      <c r="M28" s="8">
        <f t="shared" si="33"/>
        <v>-8.1576893052302868E-2</v>
      </c>
      <c r="N28" s="8">
        <f t="shared" si="33"/>
        <v>-3.7681159420289823E-2</v>
      </c>
      <c r="O28" s="8">
        <f t="shared" si="33"/>
        <v>-5.1116838487972549E-2</v>
      </c>
      <c r="P28" s="8">
        <f t="shared" si="33"/>
        <v>-6.9731800766283492E-2</v>
      </c>
      <c r="U28" s="8">
        <f t="shared" ref="U28:AS28" si="34">+U4/T4-1</f>
        <v>0.10297404160220047</v>
      </c>
      <c r="V28" s="8">
        <f t="shared" si="34"/>
        <v>2.6184538653366562E-2</v>
      </c>
      <c r="W28" s="8">
        <f t="shared" si="34"/>
        <v>6.5006075334143487E-2</v>
      </c>
      <c r="X28" s="8">
        <f t="shared" si="34"/>
        <v>9.2127780946948068E-2</v>
      </c>
      <c r="Y28" s="8">
        <f t="shared" si="34"/>
        <v>5.6933925306868582E-2</v>
      </c>
      <c r="Z28" s="8">
        <f t="shared" si="34"/>
        <v>-0.63466765505312583</v>
      </c>
      <c r="AA28" s="8">
        <f t="shared" si="34"/>
        <v>1.0415962123774096</v>
      </c>
      <c r="AB28" s="8">
        <f t="shared" si="34"/>
        <v>0.51697863177074699</v>
      </c>
      <c r="AC28" s="8">
        <f t="shared" si="34"/>
        <v>4.9901725267525565E-2</v>
      </c>
      <c r="AD28" s="8">
        <f t="shared" si="34"/>
        <v>5.0000000000000044E-2</v>
      </c>
      <c r="AE28" s="8">
        <f t="shared" si="34"/>
        <v>5.0000000000000044E-2</v>
      </c>
      <c r="AF28" s="8">
        <f t="shared" si="34"/>
        <v>5.0000000000000044E-2</v>
      </c>
      <c r="AG28" s="8">
        <f t="shared" si="34"/>
        <v>5.0000000000000044E-2</v>
      </c>
      <c r="AH28" s="8">
        <f t="shared" si="34"/>
        <v>5.0000000000000044E-2</v>
      </c>
      <c r="AI28" s="8">
        <f t="shared" si="34"/>
        <v>5.0000000000000044E-2</v>
      </c>
      <c r="AJ28" s="8">
        <f t="shared" si="34"/>
        <v>5.0000000000000044E-2</v>
      </c>
      <c r="AK28" s="8">
        <f t="shared" si="34"/>
        <v>5.0000000000000044E-2</v>
      </c>
      <c r="AL28" s="8">
        <f t="shared" si="34"/>
        <v>5.0000000000000044E-2</v>
      </c>
      <c r="AM28" s="8">
        <f t="shared" si="34"/>
        <v>5.0000000000000044E-2</v>
      </c>
      <c r="AN28" s="8">
        <f t="shared" si="34"/>
        <v>5.0000000000000044E-2</v>
      </c>
      <c r="AO28" s="8">
        <f t="shared" si="34"/>
        <v>5.0000000000000044E-2</v>
      </c>
      <c r="AP28" s="8">
        <f t="shared" si="34"/>
        <v>5.0000000000000044E-2</v>
      </c>
      <c r="AQ28" s="8">
        <f t="shared" si="34"/>
        <v>5.0000000000000044E-2</v>
      </c>
      <c r="AR28" s="8">
        <f t="shared" si="34"/>
        <v>5.0000000000000044E-2</v>
      </c>
      <c r="AS28" s="8">
        <f t="shared" si="34"/>
        <v>5.0000000000000044E-2</v>
      </c>
      <c r="AU28" s="4" t="s">
        <v>51</v>
      </c>
      <c r="AV28" s="6">
        <f>+AV26+AV27</f>
        <v>2041.762472608797</v>
      </c>
    </row>
    <row r="29" spans="2:146" x14ac:dyDescent="0.2">
      <c r="AU29" s="2" t="s">
        <v>50</v>
      </c>
      <c r="AV29" s="7">
        <f>+AV28/Main!N4</f>
        <v>5.8840417078063316</v>
      </c>
    </row>
    <row r="30" spans="2:146" x14ac:dyDescent="0.2">
      <c r="B30" s="2" t="s">
        <v>49</v>
      </c>
      <c r="K30" s="2">
        <f t="shared" ref="K30:P30" si="35">+K31-K47</f>
        <v>-2100</v>
      </c>
      <c r="L30" s="2">
        <f t="shared" si="35"/>
        <v>-2147</v>
      </c>
      <c r="M30" s="2">
        <f t="shared" si="35"/>
        <v>-2879</v>
      </c>
      <c r="N30" s="2">
        <f t="shared" si="35"/>
        <v>-3399</v>
      </c>
      <c r="O30" s="2">
        <f t="shared" si="35"/>
        <v>-3619</v>
      </c>
      <c r="P30" s="2">
        <f t="shared" si="35"/>
        <v>-3924</v>
      </c>
      <c r="AC30" s="2">
        <f>+P30</f>
        <v>-3924</v>
      </c>
      <c r="AD30" s="2">
        <f t="shared" ref="AD30:AS30" si="36">+AC30+AD20</f>
        <v>-4232.9400000000023</v>
      </c>
      <c r="AE30" s="2">
        <f t="shared" si="36"/>
        <v>-4490.4952000000021</v>
      </c>
      <c r="AF30" s="2">
        <f t="shared" si="36"/>
        <v>-4692.9645060000003</v>
      </c>
      <c r="AG30" s="2">
        <f t="shared" si="36"/>
        <v>-4835.9296718799997</v>
      </c>
      <c r="AH30" s="2">
        <f t="shared" si="36"/>
        <v>-4914.2417769653966</v>
      </c>
      <c r="AI30" s="2">
        <f t="shared" si="36"/>
        <v>-4922.0019553911525</v>
      </c>
      <c r="AJ30" s="2">
        <f t="shared" si="36"/>
        <v>-4852.5365665335166</v>
      </c>
      <c r="AK30" s="2">
        <f t="shared" si="36"/>
        <v>-4698.36694095451</v>
      </c>
      <c r="AL30" s="2">
        <f t="shared" si="36"/>
        <v>-4451.1737860801386</v>
      </c>
      <c r="AM30" s="2">
        <f t="shared" si="36"/>
        <v>-4101.7562895388282</v>
      </c>
      <c r="AN30" s="2">
        <f t="shared" si="36"/>
        <v>-3639.9859151244004</v>
      </c>
      <c r="AO30" s="2">
        <f t="shared" si="36"/>
        <v>-3054.7548461857591</v>
      </c>
      <c r="AP30" s="2">
        <f t="shared" si="36"/>
        <v>-2333.9189934070687</v>
      </c>
      <c r="AQ30" s="2">
        <f t="shared" si="36"/>
        <v>-1464.2354479997402</v>
      </c>
      <c r="AR30" s="2">
        <f t="shared" si="36"/>
        <v>-431.29422689692524</v>
      </c>
      <c r="AS30" s="2">
        <f t="shared" si="36"/>
        <v>780.55587672599177</v>
      </c>
      <c r="AU30" s="2" t="s">
        <v>48</v>
      </c>
      <c r="AV30" s="7">
        <v>5.3</v>
      </c>
    </row>
    <row r="31" spans="2:146" x14ac:dyDescent="0.2">
      <c r="B31" s="2" t="s">
        <v>2</v>
      </c>
      <c r="K31" s="2">
        <f>1333+146</f>
        <v>1479</v>
      </c>
      <c r="L31" s="2">
        <f>1462+148</f>
        <v>1610</v>
      </c>
      <c r="M31" s="2">
        <f>973+149</f>
        <v>1122</v>
      </c>
      <c r="N31" s="2">
        <f>1166+151</f>
        <v>1317</v>
      </c>
      <c r="O31" s="2">
        <f>1237+156</f>
        <v>1393</v>
      </c>
      <c r="P31" s="2">
        <f>1312+134</f>
        <v>1446</v>
      </c>
      <c r="AU31" s="2" t="s">
        <v>47</v>
      </c>
      <c r="AV31" s="4">
        <f>+AV29/AV30-1</f>
        <v>0.11019654864270412</v>
      </c>
    </row>
    <row r="32" spans="2:146" x14ac:dyDescent="0.2">
      <c r="B32" s="2" t="s">
        <v>46</v>
      </c>
      <c r="K32" s="2">
        <f>204+153</f>
        <v>357</v>
      </c>
      <c r="L32" s="2">
        <f>205+169</f>
        <v>374</v>
      </c>
      <c r="M32" s="2">
        <f>409+166</f>
        <v>575</v>
      </c>
      <c r="N32" s="2">
        <f>401+151</f>
        <v>552</v>
      </c>
      <c r="O32" s="2">
        <f>326+145</f>
        <v>471</v>
      </c>
      <c r="P32" s="2">
        <f>184+104</f>
        <v>288</v>
      </c>
    </row>
    <row r="33" spans="2:18" x14ac:dyDescent="0.2">
      <c r="B33" s="2" t="s">
        <v>45</v>
      </c>
      <c r="K33" s="2">
        <v>331</v>
      </c>
      <c r="L33" s="2">
        <v>309</v>
      </c>
      <c r="M33" s="2">
        <v>329</v>
      </c>
      <c r="N33" s="2">
        <v>336</v>
      </c>
      <c r="O33" s="2">
        <v>362</v>
      </c>
      <c r="P33" s="2">
        <v>336</v>
      </c>
    </row>
    <row r="34" spans="2:18" x14ac:dyDescent="0.2">
      <c r="B34" s="2" t="s">
        <v>44</v>
      </c>
      <c r="K34" s="2">
        <v>76</v>
      </c>
      <c r="L34" s="2">
        <v>89</v>
      </c>
      <c r="M34" s="2">
        <v>97</v>
      </c>
      <c r="N34" s="2">
        <v>109</v>
      </c>
      <c r="O34" s="2">
        <v>111</v>
      </c>
      <c r="P34" s="2">
        <v>130</v>
      </c>
    </row>
    <row r="35" spans="2:18" x14ac:dyDescent="0.2">
      <c r="B35" s="2" t="s">
        <v>43</v>
      </c>
      <c r="K35" s="2">
        <v>154</v>
      </c>
      <c r="L35" s="2">
        <v>165</v>
      </c>
      <c r="M35" s="2">
        <v>162</v>
      </c>
      <c r="N35" s="2">
        <v>148</v>
      </c>
      <c r="O35" s="2">
        <v>128</v>
      </c>
      <c r="P35" s="2">
        <v>122</v>
      </c>
    </row>
    <row r="36" spans="2:18" x14ac:dyDescent="0.2">
      <c r="B36" s="2" t="s">
        <v>42</v>
      </c>
      <c r="K36" s="2">
        <v>8598</v>
      </c>
      <c r="L36" s="2">
        <v>8756</v>
      </c>
      <c r="M36" s="2">
        <v>8917</v>
      </c>
      <c r="N36" s="2">
        <v>9168</v>
      </c>
      <c r="O36" s="2">
        <v>9465</v>
      </c>
      <c r="P36" s="2">
        <v>9828</v>
      </c>
    </row>
    <row r="37" spans="2:18" x14ac:dyDescent="0.2">
      <c r="B37" s="2" t="s">
        <v>41</v>
      </c>
      <c r="K37" s="2">
        <v>560</v>
      </c>
      <c r="L37" s="2">
        <v>536</v>
      </c>
      <c r="M37" s="2">
        <v>522</v>
      </c>
      <c r="N37" s="2">
        <v>507</v>
      </c>
      <c r="O37" s="2">
        <v>479</v>
      </c>
      <c r="P37" s="2">
        <v>468</v>
      </c>
    </row>
    <row r="38" spans="2:18" x14ac:dyDescent="0.2">
      <c r="B38" s="2" t="s">
        <v>34</v>
      </c>
      <c r="K38" s="2">
        <v>637</v>
      </c>
      <c r="L38" s="2">
        <v>621</v>
      </c>
      <c r="M38" s="2">
        <v>605</v>
      </c>
      <c r="N38" s="2">
        <v>593</v>
      </c>
      <c r="O38" s="2">
        <v>571</v>
      </c>
      <c r="P38" s="2">
        <v>571</v>
      </c>
    </row>
    <row r="39" spans="2:18" x14ac:dyDescent="0.2">
      <c r="B39" s="2" t="s">
        <v>40</v>
      </c>
      <c r="K39" s="2">
        <v>310</v>
      </c>
      <c r="L39" s="2">
        <v>333</v>
      </c>
      <c r="M39" s="2">
        <v>346</v>
      </c>
      <c r="N39" s="2">
        <v>349</v>
      </c>
      <c r="O39" s="2">
        <v>383</v>
      </c>
      <c r="P39" s="2">
        <v>388</v>
      </c>
    </row>
    <row r="40" spans="2:18" x14ac:dyDescent="0.2">
      <c r="B40" s="2" t="s">
        <v>19</v>
      </c>
      <c r="K40" s="2">
        <v>725</v>
      </c>
      <c r="L40" s="2">
        <v>688</v>
      </c>
      <c r="M40" s="2">
        <v>737</v>
      </c>
      <c r="N40" s="2">
        <v>762</v>
      </c>
      <c r="O40" s="2">
        <v>358</v>
      </c>
      <c r="P40" s="2">
        <v>416</v>
      </c>
    </row>
    <row r="41" spans="2:18" s="6" customFormat="1" x14ac:dyDescent="0.2">
      <c r="B41" s="6" t="s">
        <v>39</v>
      </c>
      <c r="K41" s="6">
        <f t="shared" ref="K41:P41" si="37">+SUM(K31:K40)</f>
        <v>13227</v>
      </c>
      <c r="L41" s="6">
        <f t="shared" si="37"/>
        <v>13481</v>
      </c>
      <c r="M41" s="6">
        <f t="shared" si="37"/>
        <v>13412</v>
      </c>
      <c r="N41" s="6">
        <f t="shared" si="37"/>
        <v>13841</v>
      </c>
      <c r="O41" s="6">
        <f t="shared" si="37"/>
        <v>13721</v>
      </c>
      <c r="P41" s="6">
        <f t="shared" si="37"/>
        <v>13993</v>
      </c>
    </row>
    <row r="42" spans="2:18" x14ac:dyDescent="0.2">
      <c r="B42" s="2" t="s">
        <v>38</v>
      </c>
      <c r="K42" s="2">
        <v>626</v>
      </c>
      <c r="L42" s="2">
        <v>699</v>
      </c>
      <c r="M42" s="2">
        <v>691</v>
      </c>
      <c r="N42" s="2">
        <v>641</v>
      </c>
      <c r="O42" s="2">
        <v>647</v>
      </c>
      <c r="P42" s="2">
        <v>660</v>
      </c>
    </row>
    <row r="43" spans="2:18" x14ac:dyDescent="0.2">
      <c r="B43" s="2" t="s">
        <v>37</v>
      </c>
      <c r="K43" s="2">
        <f>1926+731</f>
        <v>2657</v>
      </c>
      <c r="L43" s="2">
        <f>1751+726</f>
        <v>2477</v>
      </c>
      <c r="M43" s="2">
        <f>1592+766</f>
        <v>2358</v>
      </c>
      <c r="N43" s="2">
        <f>1463+740</f>
        <v>2203</v>
      </c>
      <c r="O43" s="2">
        <f>1723+743</f>
        <v>2466</v>
      </c>
      <c r="P43" s="2">
        <f>1614+740</f>
        <v>2354</v>
      </c>
    </row>
    <row r="44" spans="2:18" x14ac:dyDescent="0.2">
      <c r="B44" s="2" t="s">
        <v>36</v>
      </c>
      <c r="K44" s="2">
        <v>543</v>
      </c>
      <c r="L44" s="2">
        <v>530</v>
      </c>
      <c r="M44" s="2">
        <v>574</v>
      </c>
      <c r="N44" s="2">
        <v>591</v>
      </c>
      <c r="O44" s="2">
        <v>597</v>
      </c>
      <c r="P44" s="2">
        <v>586</v>
      </c>
    </row>
    <row r="45" spans="2:18" x14ac:dyDescent="0.2">
      <c r="B45" s="2" t="s">
        <v>35</v>
      </c>
      <c r="K45" s="2">
        <v>554</v>
      </c>
      <c r="L45" s="2">
        <v>526</v>
      </c>
      <c r="M45" s="2">
        <f>479</f>
        <v>479</v>
      </c>
      <c r="N45" s="2">
        <v>509</v>
      </c>
      <c r="O45" s="2">
        <v>613</v>
      </c>
      <c r="P45" s="2">
        <v>577</v>
      </c>
    </row>
    <row r="46" spans="2:18" x14ac:dyDescent="0.2">
      <c r="B46" s="2" t="s">
        <v>34</v>
      </c>
      <c r="K46" s="2">
        <f>98+616</f>
        <v>714</v>
      </c>
      <c r="L46" s="2">
        <f>113+578</f>
        <v>691</v>
      </c>
      <c r="M46" s="2">
        <f>115+560</f>
        <v>675</v>
      </c>
      <c r="N46" s="2">
        <f>117+547</f>
        <v>664</v>
      </c>
      <c r="O46" s="2">
        <f>112+528</f>
        <v>640</v>
      </c>
      <c r="P46" s="2">
        <f>103+532</f>
        <v>635</v>
      </c>
    </row>
    <row r="47" spans="2:18" x14ac:dyDescent="0.2">
      <c r="B47" s="2" t="s">
        <v>1</v>
      </c>
      <c r="K47" s="2">
        <f>3316+263</f>
        <v>3579</v>
      </c>
      <c r="L47" s="2">
        <f>3486+271</f>
        <v>3757</v>
      </c>
      <c r="M47" s="2">
        <f>3729+272</f>
        <v>4001</v>
      </c>
      <c r="N47" s="2">
        <f>4409+307</f>
        <v>4716</v>
      </c>
      <c r="O47" s="2">
        <f>4682+330</f>
        <v>5012</v>
      </c>
      <c r="P47" s="2">
        <f>5016+354</f>
        <v>5370</v>
      </c>
      <c r="R47" s="4"/>
    </row>
    <row r="48" spans="2:18" x14ac:dyDescent="0.2">
      <c r="B48" s="2" t="s">
        <v>33</v>
      </c>
      <c r="K48" s="2">
        <v>692</v>
      </c>
      <c r="L48" s="2">
        <v>774</v>
      </c>
      <c r="M48" s="2">
        <v>750</v>
      </c>
      <c r="N48" s="2">
        <v>743</v>
      </c>
      <c r="O48" s="2">
        <v>689</v>
      </c>
      <c r="P48" s="2">
        <v>694</v>
      </c>
      <c r="R48" s="4"/>
    </row>
    <row r="49" spans="2:16" x14ac:dyDescent="0.2">
      <c r="B49" s="2" t="s">
        <v>19</v>
      </c>
      <c r="K49" s="2">
        <v>489</v>
      </c>
      <c r="L49" s="2">
        <v>473</v>
      </c>
      <c r="M49" s="2">
        <v>464</v>
      </c>
      <c r="N49" s="2">
        <v>449</v>
      </c>
      <c r="O49" s="2">
        <v>424</v>
      </c>
      <c r="P49" s="2">
        <v>420</v>
      </c>
    </row>
    <row r="50" spans="2:16" s="6" customFormat="1" x14ac:dyDescent="0.2">
      <c r="B50" s="6" t="s">
        <v>32</v>
      </c>
      <c r="K50" s="6">
        <f t="shared" ref="K50:P50" si="38">+SUM(K42:K49)</f>
        <v>9854</v>
      </c>
      <c r="L50" s="6">
        <f t="shared" si="38"/>
        <v>9927</v>
      </c>
      <c r="M50" s="6">
        <f t="shared" si="38"/>
        <v>9992</v>
      </c>
      <c r="N50" s="6">
        <f t="shared" si="38"/>
        <v>10516</v>
      </c>
      <c r="O50" s="6">
        <f t="shared" si="38"/>
        <v>11088</v>
      </c>
      <c r="P50" s="6">
        <f t="shared" si="38"/>
        <v>11296</v>
      </c>
    </row>
    <row r="51" spans="2:16" x14ac:dyDescent="0.2">
      <c r="B51" s="2" t="s">
        <v>31</v>
      </c>
      <c r="K51" s="2">
        <f t="shared" ref="K51:P51" si="39">+K41-K50</f>
        <v>3373</v>
      </c>
      <c r="L51" s="2">
        <f t="shared" si="39"/>
        <v>3554</v>
      </c>
      <c r="M51" s="2">
        <f t="shared" si="39"/>
        <v>3420</v>
      </c>
      <c r="N51" s="2">
        <f t="shared" si="39"/>
        <v>3325</v>
      </c>
      <c r="O51" s="2">
        <f t="shared" si="39"/>
        <v>2633</v>
      </c>
      <c r="P51" s="2">
        <f t="shared" si="39"/>
        <v>2697</v>
      </c>
    </row>
    <row r="52" spans="2:16" x14ac:dyDescent="0.2">
      <c r="B52" s="2" t="s">
        <v>30</v>
      </c>
      <c r="K52" s="2">
        <f t="shared" ref="K52:P52" si="40">+K51+K50</f>
        <v>13227</v>
      </c>
      <c r="L52" s="2">
        <f t="shared" si="40"/>
        <v>13481</v>
      </c>
      <c r="M52" s="2">
        <f t="shared" si="40"/>
        <v>13412</v>
      </c>
      <c r="N52" s="2">
        <f t="shared" si="40"/>
        <v>13841</v>
      </c>
      <c r="O52" s="2">
        <f t="shared" si="40"/>
        <v>13721</v>
      </c>
      <c r="P52" s="2">
        <f t="shared" si="40"/>
        <v>13993</v>
      </c>
    </row>
    <row r="54" spans="2:16" x14ac:dyDescent="0.2">
      <c r="B54" s="2" t="s">
        <v>29</v>
      </c>
      <c r="K54" s="7">
        <f t="shared" ref="K54:P54" si="41">+K51/K22</f>
        <v>9.9498525073746311</v>
      </c>
      <c r="L54" s="7">
        <f t="shared" si="41"/>
        <v>10.24207492795389</v>
      </c>
      <c r="M54" s="7">
        <f t="shared" si="41"/>
        <v>10.261354724573447</v>
      </c>
      <c r="N54" s="7">
        <f t="shared" si="41"/>
        <v>9.7862302150704554</v>
      </c>
      <c r="O54" s="7">
        <f t="shared" si="41"/>
        <v>7.7441176470588236</v>
      </c>
      <c r="P54" s="7">
        <f t="shared" si="41"/>
        <v>7.772334293948127</v>
      </c>
    </row>
    <row r="55" spans="2:16" x14ac:dyDescent="0.2">
      <c r="K55" s="7"/>
      <c r="L55" s="7"/>
      <c r="M55" s="7"/>
      <c r="N55" s="7"/>
      <c r="O55" s="7"/>
      <c r="P55" s="7"/>
    </row>
    <row r="56" spans="2:16" x14ac:dyDescent="0.2">
      <c r="B56" s="2" t="s">
        <v>28</v>
      </c>
      <c r="N56" s="2">
        <f>+SUM(K20:N20)</f>
        <v>-130</v>
      </c>
      <c r="O56" s="2">
        <f>+SUM(L20:O20)</f>
        <v>-180</v>
      </c>
      <c r="P56" s="2">
        <f>+SUM(M20:P20)</f>
        <v>-325</v>
      </c>
    </row>
    <row r="57" spans="2:16" s="4" customFormat="1" x14ac:dyDescent="0.2">
      <c r="B57" s="4" t="s">
        <v>27</v>
      </c>
      <c r="N57" s="4">
        <f>+N56/(N32+N33+N34+N35+N36+N37+N38+N40)</f>
        <v>-1.0677618069815195E-2</v>
      </c>
      <c r="O57" s="4">
        <f>+O56/(O32+O33+O34+O35+O36+O37+O38+O40)</f>
        <v>-1.5069066555043951E-2</v>
      </c>
      <c r="P57" s="4">
        <f>+P56/(P32+P33+P34+P35+P36+P37+P38+P40)</f>
        <v>-2.6729171806892014E-2</v>
      </c>
    </row>
    <row r="59" spans="2:16" x14ac:dyDescent="0.2">
      <c r="B59" s="2" t="s">
        <v>26</v>
      </c>
      <c r="K59" s="2">
        <f t="shared" ref="K59:P59" si="42">+K20</f>
        <v>-90</v>
      </c>
      <c r="L59" s="2">
        <f t="shared" si="42"/>
        <v>152</v>
      </c>
      <c r="M59" s="2">
        <f t="shared" si="42"/>
        <v>-131</v>
      </c>
      <c r="N59" s="2">
        <f t="shared" si="42"/>
        <v>-61</v>
      </c>
      <c r="O59" s="2">
        <f t="shared" si="42"/>
        <v>-140</v>
      </c>
      <c r="P59" s="2">
        <f t="shared" si="42"/>
        <v>7</v>
      </c>
    </row>
    <row r="60" spans="2:16" x14ac:dyDescent="0.2">
      <c r="B60" s="2" t="s">
        <v>25</v>
      </c>
      <c r="K60" s="2">
        <v>-192</v>
      </c>
      <c r="L60" s="2">
        <f>-54-K60</f>
        <v>138</v>
      </c>
      <c r="M60" s="2">
        <f>-207-SUM(K60:L60)</f>
        <v>-153</v>
      </c>
      <c r="N60" s="2">
        <f>-310-SUM(K60:M60)</f>
        <v>-103</v>
      </c>
      <c r="O60" s="2">
        <v>-716</v>
      </c>
      <c r="P60" s="2">
        <f>-691-O60</f>
        <v>25</v>
      </c>
    </row>
    <row r="61" spans="2:16" x14ac:dyDescent="0.2">
      <c r="B61" s="2" t="s">
        <v>24</v>
      </c>
      <c r="K61" s="2">
        <v>-78</v>
      </c>
      <c r="L61" s="2">
        <f>4-K61</f>
        <v>82</v>
      </c>
      <c r="M61" s="2">
        <f>-20-SUM(K61:L61)</f>
        <v>-24</v>
      </c>
      <c r="N61" s="2">
        <f>-27-SUM(K61:M61)</f>
        <v>-7</v>
      </c>
      <c r="O61" s="2">
        <v>-54</v>
      </c>
      <c r="P61" s="2">
        <f>-49-O61</f>
        <v>5</v>
      </c>
    </row>
    <row r="62" spans="2:16" x14ac:dyDescent="0.2">
      <c r="B62" s="2" t="s">
        <v>23</v>
      </c>
      <c r="K62" s="2">
        <f>137+14</f>
        <v>151</v>
      </c>
      <c r="L62" s="2">
        <f>276+30-K62</f>
        <v>155</v>
      </c>
      <c r="M62" s="2">
        <f>414+48-SUM(K62:L62)</f>
        <v>156</v>
      </c>
      <c r="N62" s="2">
        <f>621-SUM(K62:M62)</f>
        <v>159</v>
      </c>
      <c r="O62" s="2">
        <v>158</v>
      </c>
      <c r="P62" s="2">
        <f>322-O62</f>
        <v>164</v>
      </c>
    </row>
    <row r="63" spans="2:16" x14ac:dyDescent="0.2">
      <c r="B63" s="2" t="s">
        <v>22</v>
      </c>
      <c r="K63" s="2">
        <v>0</v>
      </c>
      <c r="L63" s="2">
        <v>0</v>
      </c>
      <c r="M63" s="2">
        <v>0</v>
      </c>
      <c r="N63" s="2">
        <v>0</v>
      </c>
      <c r="O63" s="2">
        <v>450</v>
      </c>
      <c r="P63" s="2">
        <f>450-O63</f>
        <v>0</v>
      </c>
    </row>
    <row r="64" spans="2:16" x14ac:dyDescent="0.2">
      <c r="B64" s="2" t="s">
        <v>21</v>
      </c>
      <c r="K64" s="2">
        <v>10</v>
      </c>
      <c r="L64" s="2">
        <f>22-K64</f>
        <v>12</v>
      </c>
      <c r="M64" s="2">
        <f>31-SUM(K64:L64)</f>
        <v>9</v>
      </c>
      <c r="N64" s="2">
        <f>39-SUM(K64:M64)</f>
        <v>8</v>
      </c>
      <c r="O64" s="2">
        <v>12</v>
      </c>
      <c r="P64" s="2">
        <f>21-O64</f>
        <v>9</v>
      </c>
    </row>
    <row r="65" spans="2:29" x14ac:dyDescent="0.2">
      <c r="B65" s="2" t="s">
        <v>20</v>
      </c>
      <c r="K65" s="2">
        <v>520</v>
      </c>
      <c r="L65" s="2">
        <f>386-K65</f>
        <v>-134</v>
      </c>
      <c r="M65" s="2">
        <f>230-SUM(K65:L65)</f>
        <v>-156</v>
      </c>
      <c r="N65" s="2">
        <f>-3+67-145+141-SUM(K65:M65)</f>
        <v>-170</v>
      </c>
      <c r="O65" s="2">
        <v>331</v>
      </c>
      <c r="P65" s="2">
        <f>134-O65</f>
        <v>-197</v>
      </c>
    </row>
    <row r="66" spans="2:29" x14ac:dyDescent="0.2">
      <c r="B66" s="2" t="s">
        <v>19</v>
      </c>
      <c r="K66" s="2">
        <v>-6</v>
      </c>
      <c r="L66" s="2">
        <f>-1-K66</f>
        <v>5</v>
      </c>
      <c r="M66" s="2">
        <v>-10</v>
      </c>
      <c r="N66" s="2">
        <f>17-SUM(K66:M66)</f>
        <v>28</v>
      </c>
      <c r="O66" s="2">
        <v>23</v>
      </c>
      <c r="P66" s="2">
        <f>3-O66</f>
        <v>-20</v>
      </c>
    </row>
    <row r="67" spans="2:29" s="6" customFormat="1" x14ac:dyDescent="0.2">
      <c r="B67" s="6" t="s">
        <v>18</v>
      </c>
      <c r="K67" s="6">
        <f t="shared" ref="K67:P67" si="43">+SUM(K60:K66)</f>
        <v>405</v>
      </c>
      <c r="L67" s="6">
        <f t="shared" si="43"/>
        <v>258</v>
      </c>
      <c r="M67" s="6">
        <f t="shared" si="43"/>
        <v>-178</v>
      </c>
      <c r="N67" s="6">
        <f t="shared" si="43"/>
        <v>-85</v>
      </c>
      <c r="O67" s="6">
        <f t="shared" si="43"/>
        <v>204</v>
      </c>
      <c r="P67" s="6">
        <f t="shared" si="43"/>
        <v>-14</v>
      </c>
    </row>
    <row r="69" spans="2:29" s="6" customFormat="1" x14ac:dyDescent="0.2">
      <c r="B69" s="6" t="s">
        <v>17</v>
      </c>
      <c r="K69" s="6">
        <v>172</v>
      </c>
      <c r="L69" s="6">
        <f>439-K69</f>
        <v>267</v>
      </c>
      <c r="M69" s="6">
        <f>750-SUM(K69:L69)</f>
        <v>311</v>
      </c>
      <c r="N69" s="6">
        <f>1128-SUM(K69:M69)</f>
        <v>378</v>
      </c>
      <c r="O69" s="6">
        <v>427</v>
      </c>
      <c r="P69" s="6">
        <f>854-O69</f>
        <v>427</v>
      </c>
    </row>
    <row r="71" spans="2:29" s="6" customFormat="1" x14ac:dyDescent="0.2">
      <c r="B71" s="6" t="s">
        <v>16</v>
      </c>
      <c r="K71" s="6">
        <f t="shared" ref="K71:P71" si="44">+K67-K69</f>
        <v>233</v>
      </c>
      <c r="L71" s="6">
        <f t="shared" si="44"/>
        <v>-9</v>
      </c>
      <c r="M71" s="6">
        <f t="shared" si="44"/>
        <v>-489</v>
      </c>
      <c r="N71" s="6">
        <f t="shared" si="44"/>
        <v>-463</v>
      </c>
      <c r="O71" s="6">
        <f t="shared" si="44"/>
        <v>-223</v>
      </c>
      <c r="P71" s="6">
        <f t="shared" si="44"/>
        <v>-441</v>
      </c>
    </row>
    <row r="72" spans="2:29" x14ac:dyDescent="0.2">
      <c r="B72" s="2" t="s">
        <v>15</v>
      </c>
      <c r="N72" s="2">
        <f>+SUM(K71:N71)</f>
        <v>-728</v>
      </c>
      <c r="O72" s="2">
        <f>+SUM(L71:O71)</f>
        <v>-1184</v>
      </c>
      <c r="P72" s="2">
        <f>+SUM(M71:P71)</f>
        <v>-1616</v>
      </c>
    </row>
    <row r="75" spans="2:29" x14ac:dyDescent="0.2">
      <c r="B75" s="6" t="s">
        <v>14</v>
      </c>
    </row>
    <row r="76" spans="2:29" x14ac:dyDescent="0.2">
      <c r="B76" s="2" t="s">
        <v>13</v>
      </c>
      <c r="T76" s="2">
        <v>2609</v>
      </c>
      <c r="U76" s="2">
        <v>2857</v>
      </c>
      <c r="V76" s="2">
        <v>3037</v>
      </c>
      <c r="W76" s="2">
        <v>3211</v>
      </c>
      <c r="X76" s="2">
        <v>3372</v>
      </c>
      <c r="Y76" s="2">
        <v>3590</v>
      </c>
      <c r="Z76" s="2">
        <v>3714</v>
      </c>
      <c r="AA76" s="2">
        <v>3744</v>
      </c>
      <c r="AB76" s="2">
        <v>4102</v>
      </c>
      <c r="AC76" s="2">
        <v>4436</v>
      </c>
    </row>
    <row r="77" spans="2:29" x14ac:dyDescent="0.2">
      <c r="B77" s="2" t="s">
        <v>12</v>
      </c>
      <c r="T77" s="2">
        <v>2769</v>
      </c>
      <c r="U77" s="2">
        <v>3108</v>
      </c>
      <c r="V77" s="2">
        <v>3670</v>
      </c>
      <c r="W77" s="2">
        <v>4251</v>
      </c>
      <c r="X77" s="2">
        <v>4452</v>
      </c>
      <c r="Y77" s="2">
        <v>4887</v>
      </c>
      <c r="Z77" s="2">
        <v>4308</v>
      </c>
      <c r="AA77" s="2">
        <v>4381</v>
      </c>
      <c r="AB77" s="2">
        <v>5528</v>
      </c>
      <c r="AC77" s="2">
        <v>5921</v>
      </c>
    </row>
    <row r="78" spans="2:29" x14ac:dyDescent="0.2">
      <c r="B78" s="2" t="s">
        <v>11</v>
      </c>
      <c r="T78" s="2">
        <v>3626</v>
      </c>
      <c r="U78" s="2">
        <v>3977</v>
      </c>
      <c r="V78" s="2">
        <v>4233</v>
      </c>
      <c r="W78" s="2">
        <v>4512</v>
      </c>
      <c r="X78" s="2">
        <v>4651</v>
      </c>
      <c r="Y78" s="2">
        <v>4644</v>
      </c>
      <c r="Z78" s="2">
        <v>2745</v>
      </c>
      <c r="AA78" s="2">
        <v>3591</v>
      </c>
      <c r="AB78" s="2">
        <v>4300</v>
      </c>
      <c r="AC78" s="2">
        <v>4178</v>
      </c>
    </row>
    <row r="79" spans="2:29" x14ac:dyDescent="0.2">
      <c r="B79" s="2" t="s">
        <v>10</v>
      </c>
      <c r="T79" s="2">
        <v>540</v>
      </c>
      <c r="U79" s="2">
        <v>573</v>
      </c>
      <c r="V79" s="2">
        <v>554</v>
      </c>
      <c r="W79" s="2">
        <v>585</v>
      </c>
      <c r="X79" s="2">
        <v>650</v>
      </c>
      <c r="Y79" s="2">
        <v>690</v>
      </c>
      <c r="Z79" s="2">
        <v>653</v>
      </c>
      <c r="AA79" s="2">
        <v>706</v>
      </c>
      <c r="AB79" s="2">
        <v>813</v>
      </c>
      <c r="AC79" s="2">
        <v>938</v>
      </c>
    </row>
    <row r="80" spans="2:29" x14ac:dyDescent="0.2">
      <c r="B80" s="2" t="s">
        <v>9</v>
      </c>
      <c r="T80" s="2">
        <v>1120</v>
      </c>
      <c r="U80" s="2">
        <v>1268</v>
      </c>
      <c r="V80" s="2">
        <v>1307</v>
      </c>
      <c r="W80" s="2">
        <v>1430</v>
      </c>
      <c r="X80" s="2">
        <v>1319</v>
      </c>
      <c r="Y80" s="2">
        <v>1278</v>
      </c>
      <c r="Z80" s="2">
        <v>849</v>
      </c>
      <c r="AA80" s="2">
        <v>1103</v>
      </c>
      <c r="AB80" s="2">
        <v>1362</v>
      </c>
      <c r="AC80" s="2">
        <v>779</v>
      </c>
    </row>
    <row r="81" spans="2:29" x14ac:dyDescent="0.2">
      <c r="B81" s="2" t="s">
        <v>8</v>
      </c>
      <c r="T81" s="2">
        <v>2616</v>
      </c>
      <c r="U81" s="2">
        <v>2754</v>
      </c>
      <c r="V81" s="2">
        <v>2895</v>
      </c>
      <c r="W81" s="2">
        <v>3129</v>
      </c>
      <c r="X81" s="2">
        <v>3322</v>
      </c>
      <c r="Y81" s="2">
        <v>3446</v>
      </c>
      <c r="Z81" s="2">
        <v>3181</v>
      </c>
      <c r="AA81" s="2">
        <v>3168</v>
      </c>
      <c r="AB81" s="2">
        <v>3970</v>
      </c>
      <c r="AC81" s="2">
        <v>4380</v>
      </c>
    </row>
    <row r="82" spans="2:29" s="6" customFormat="1" x14ac:dyDescent="0.2">
      <c r="B82" s="6" t="s">
        <v>7</v>
      </c>
      <c r="T82" s="6">
        <f t="shared" ref="T82:AC82" si="45">+SUM(T76:T81)</f>
        <v>13280</v>
      </c>
      <c r="U82" s="6">
        <f t="shared" si="45"/>
        <v>14537</v>
      </c>
      <c r="V82" s="6">
        <f t="shared" si="45"/>
        <v>15696</v>
      </c>
      <c r="W82" s="6">
        <f t="shared" si="45"/>
        <v>17118</v>
      </c>
      <c r="X82" s="6">
        <f t="shared" si="45"/>
        <v>17766</v>
      </c>
      <c r="Y82" s="6">
        <f t="shared" si="45"/>
        <v>18535</v>
      </c>
      <c r="Z82" s="6">
        <f t="shared" si="45"/>
        <v>15450</v>
      </c>
      <c r="AA82" s="6">
        <f t="shared" si="45"/>
        <v>16693</v>
      </c>
      <c r="AB82" s="6">
        <f t="shared" si="45"/>
        <v>20075</v>
      </c>
      <c r="AC82" s="6">
        <f t="shared" si="45"/>
        <v>20632</v>
      </c>
    </row>
    <row r="83" spans="2:29" s="4" customFormat="1" x14ac:dyDescent="0.2">
      <c r="B83" s="5" t="s">
        <v>6</v>
      </c>
      <c r="U83" s="4">
        <f t="shared" ref="U83:AC83" si="46">+U82/T82-1</f>
        <v>9.4653614457831381E-2</v>
      </c>
      <c r="V83" s="4">
        <f t="shared" si="46"/>
        <v>7.9727591662653863E-2</v>
      </c>
      <c r="W83" s="4">
        <f t="shared" si="46"/>
        <v>9.0596330275229286E-2</v>
      </c>
      <c r="X83" s="4">
        <f t="shared" si="46"/>
        <v>3.7854889589905349E-2</v>
      </c>
      <c r="Y83" s="4">
        <f t="shared" si="46"/>
        <v>4.3284926263649659E-2</v>
      </c>
      <c r="Z83" s="4">
        <f t="shared" si="46"/>
        <v>-0.16644186673860262</v>
      </c>
      <c r="AA83" s="4">
        <f t="shared" si="46"/>
        <v>8.0453074433656901E-2</v>
      </c>
      <c r="AB83" s="4">
        <f t="shared" si="46"/>
        <v>0.20259989217037089</v>
      </c>
      <c r="AC83" s="4">
        <f t="shared" si="46"/>
        <v>2.7745952677459496E-2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Fidel</cp:lastModifiedBy>
  <dcterms:created xsi:type="dcterms:W3CDTF">2015-06-05T18:17:20Z</dcterms:created>
  <dcterms:modified xsi:type="dcterms:W3CDTF">2025-03-21T21:28:02Z</dcterms:modified>
</cp:coreProperties>
</file>