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nni\Desktop\CompanyResearchModels\Sportwear\LULU\"/>
    </mc:Choice>
  </mc:AlternateContent>
  <xr:revisionPtr revIDLastSave="0" documentId="13_ncr:1_{F0FF0F6E-4AB3-4C42-8782-06601FC21D81}" xr6:coauthVersionLast="47" xr6:coauthVersionMax="47" xr10:uidLastSave="{00000000-0000-0000-0000-000000000000}"/>
  <bookViews>
    <workbookView xWindow="-120" yWindow="-120" windowWidth="29040" windowHeight="15840" activeTab="1" xr2:uid="{2BE664D2-F79A-44F2-B81F-3E1C00A5DFF6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I91" i="2" l="1"/>
  <c r="AJ91" i="2" s="1"/>
  <c r="AK91" i="2" s="1"/>
  <c r="AL91" i="2" s="1"/>
  <c r="AM91" i="2" s="1"/>
  <c r="AN91" i="2" s="1"/>
  <c r="AO91" i="2" s="1"/>
  <c r="AP91" i="2" s="1"/>
  <c r="AQ91" i="2" s="1"/>
  <c r="AR91" i="2" s="1"/>
  <c r="AS91" i="2" s="1"/>
  <c r="AT91" i="2" s="1"/>
  <c r="AU91" i="2" s="1"/>
  <c r="AV91" i="2" s="1"/>
  <c r="AW91" i="2" s="1"/>
  <c r="AH91" i="2"/>
  <c r="AH93" i="2"/>
  <c r="AL88" i="2"/>
  <c r="AM88" i="2" s="1"/>
  <c r="AN88" i="2" s="1"/>
  <c r="AO88" i="2" s="1"/>
  <c r="AP88" i="2" s="1"/>
  <c r="AQ88" i="2" s="1"/>
  <c r="AR88" i="2" s="1"/>
  <c r="AS88" i="2" s="1"/>
  <c r="AT88" i="2" s="1"/>
  <c r="AU88" i="2" s="1"/>
  <c r="AV88" i="2" s="1"/>
  <c r="AW88" i="2" s="1"/>
  <c r="AK88" i="2"/>
  <c r="AI89" i="2"/>
  <c r="AJ89" i="2" s="1"/>
  <c r="AK89" i="2" s="1"/>
  <c r="AL89" i="2" s="1"/>
  <c r="AM89" i="2" s="1"/>
  <c r="AN89" i="2" s="1"/>
  <c r="AO89" i="2" s="1"/>
  <c r="AP89" i="2" s="1"/>
  <c r="AQ89" i="2" s="1"/>
  <c r="AR89" i="2" s="1"/>
  <c r="AS89" i="2" s="1"/>
  <c r="AT89" i="2" s="1"/>
  <c r="AU89" i="2" s="1"/>
  <c r="AV89" i="2" s="1"/>
  <c r="AW89" i="2" s="1"/>
  <c r="AH89" i="2"/>
  <c r="AG102" i="2"/>
  <c r="BA107" i="2"/>
  <c r="S106" i="2"/>
  <c r="P7" i="1"/>
  <c r="P5" i="1"/>
  <c r="R106" i="2"/>
  <c r="R169" i="2"/>
  <c r="R163" i="2"/>
  <c r="R156" i="2"/>
  <c r="R157" i="2" s="1"/>
  <c r="R181" i="2" s="1"/>
  <c r="R123" i="2"/>
  <c r="R122" i="2"/>
  <c r="R126" i="2"/>
  <c r="R112" i="2"/>
  <c r="R118" i="2" s="1"/>
  <c r="Q108" i="2"/>
  <c r="R108" i="2"/>
  <c r="R105" i="2"/>
  <c r="AI88" i="2"/>
  <c r="AJ88" i="2" s="1"/>
  <c r="R177" i="2" l="1"/>
  <c r="R172" i="2"/>
  <c r="R180" i="2"/>
  <c r="R127" i="2"/>
  <c r="R128" i="2" s="1"/>
  <c r="R90" i="2"/>
  <c r="AS90" i="2"/>
  <c r="AS100" i="2" s="1"/>
  <c r="AS105" i="2" l="1"/>
  <c r="AS106" i="2"/>
  <c r="AS92" i="2"/>
  <c r="AS101" i="2" s="1"/>
  <c r="R129" i="2"/>
  <c r="R100" i="2"/>
  <c r="R92" i="2"/>
  <c r="AH105" i="2"/>
  <c r="AK106" i="2"/>
  <c r="AI106" i="2"/>
  <c r="AJ106" i="2"/>
  <c r="AT105" i="2" l="1"/>
  <c r="AT106" i="2"/>
  <c r="AT90" i="2"/>
  <c r="R101" i="2"/>
  <c r="R94" i="2"/>
  <c r="AL106" i="2"/>
  <c r="AU105" i="2" l="1"/>
  <c r="AU106" i="2"/>
  <c r="AU90" i="2"/>
  <c r="AT92" i="2"/>
  <c r="AT101" i="2" s="1"/>
  <c r="AT100" i="2"/>
  <c r="R103" i="2"/>
  <c r="R96" i="2"/>
  <c r="R134" i="2" s="1"/>
  <c r="AM106" i="2"/>
  <c r="AW105" i="2" l="1"/>
  <c r="AV105" i="2"/>
  <c r="AV106" i="2"/>
  <c r="AV90" i="2"/>
  <c r="AU92" i="2"/>
  <c r="AU101" i="2" s="1"/>
  <c r="AU100" i="2"/>
  <c r="R102" i="2"/>
  <c r="R97" i="2"/>
  <c r="S97" i="2" s="1"/>
  <c r="AN106" i="2"/>
  <c r="AV92" i="2" l="1"/>
  <c r="AV101" i="2" s="1"/>
  <c r="AV100" i="2"/>
  <c r="AW106" i="2"/>
  <c r="AW90" i="2"/>
  <c r="AO106" i="2"/>
  <c r="AW92" i="2" l="1"/>
  <c r="AW101" i="2" s="1"/>
  <c r="AW100" i="2"/>
  <c r="AP106" i="2"/>
  <c r="AQ106" i="2" l="1"/>
  <c r="AR106" i="2"/>
  <c r="AH98" i="2" l="1"/>
  <c r="AI98" i="2" s="1"/>
  <c r="AJ98" i="2" s="1"/>
  <c r="AK98" i="2" s="1"/>
  <c r="AL98" i="2" s="1"/>
  <c r="AM98" i="2" s="1"/>
  <c r="AN98" i="2" s="1"/>
  <c r="AO98" i="2" s="1"/>
  <c r="AP98" i="2" s="1"/>
  <c r="AQ98" i="2" s="1"/>
  <c r="AR98" i="2" s="1"/>
  <c r="AS98" i="2" s="1"/>
  <c r="AT98" i="2" s="1"/>
  <c r="AU98" i="2" s="1"/>
  <c r="AV98" i="2" s="1"/>
  <c r="AW98" i="2" s="1"/>
  <c r="AH90" i="2"/>
  <c r="O41" i="2"/>
  <c r="P41" i="2" s="1"/>
  <c r="Q41" i="2" s="1"/>
  <c r="AF14" i="2"/>
  <c r="AE14" i="2"/>
  <c r="AD14" i="2"/>
  <c r="AC14" i="2"/>
  <c r="AB14" i="2"/>
  <c r="AA14" i="2"/>
  <c r="AG14" i="2"/>
  <c r="AG15" i="2"/>
  <c r="AF15" i="2"/>
  <c r="AE15" i="2"/>
  <c r="AD15" i="2"/>
  <c r="AC15" i="2"/>
  <c r="AB15" i="2"/>
  <c r="AF24" i="2"/>
  <c r="AE24" i="2"/>
  <c r="AD24" i="2"/>
  <c r="AC24" i="2"/>
  <c r="AB24" i="2"/>
  <c r="AA24" i="2"/>
  <c r="Z24" i="2"/>
  <c r="Y24" i="2"/>
  <c r="X24" i="2"/>
  <c r="W24" i="2"/>
  <c r="AG24" i="2"/>
  <c r="AC82" i="2"/>
  <c r="AC65" i="2" s="1"/>
  <c r="AG82" i="2"/>
  <c r="AG64" i="2" s="1"/>
  <c r="AF82" i="2"/>
  <c r="AF64" i="2" s="1"/>
  <c r="AG84" i="2"/>
  <c r="AF84" i="2"/>
  <c r="AG86" i="2"/>
  <c r="AF86" i="2"/>
  <c r="AE86" i="2"/>
  <c r="AD86" i="2"/>
  <c r="AC86" i="2"/>
  <c r="AB86" i="2"/>
  <c r="AA86" i="2"/>
  <c r="Z86" i="2"/>
  <c r="Y86" i="2"/>
  <c r="X86" i="2"/>
  <c r="AE84" i="2"/>
  <c r="AD84" i="2"/>
  <c r="AC84" i="2"/>
  <c r="AB84" i="2"/>
  <c r="AA84" i="2"/>
  <c r="Z84" i="2"/>
  <c r="Y84" i="2"/>
  <c r="X84" i="2"/>
  <c r="AE82" i="2"/>
  <c r="AD82" i="2"/>
  <c r="AD65" i="2" s="1"/>
  <c r="AB82" i="2"/>
  <c r="AB65" i="2" s="1"/>
  <c r="AA82" i="2"/>
  <c r="Z82" i="2"/>
  <c r="Y82" i="2"/>
  <c r="X82" i="2"/>
  <c r="W82" i="2"/>
  <c r="W84" i="2"/>
  <c r="W86" i="2"/>
  <c r="AF51" i="2"/>
  <c r="AG51" i="2"/>
  <c r="AF75" i="2"/>
  <c r="AE75" i="2"/>
  <c r="AD75" i="2"/>
  <c r="AC75" i="2"/>
  <c r="AB75" i="2"/>
  <c r="AG75" i="2"/>
  <c r="AF73" i="2"/>
  <c r="AE73" i="2"/>
  <c r="AD73" i="2"/>
  <c r="AC73" i="2"/>
  <c r="AB73" i="2"/>
  <c r="AG73" i="2"/>
  <c r="AF71" i="2"/>
  <c r="AE71" i="2"/>
  <c r="AD71" i="2"/>
  <c r="AC71" i="2"/>
  <c r="AB71" i="2"/>
  <c r="AG71" i="2"/>
  <c r="AF57" i="2"/>
  <c r="AE57" i="2"/>
  <c r="AD57" i="2"/>
  <c r="AC57" i="2"/>
  <c r="AB57" i="2"/>
  <c r="AA57" i="2"/>
  <c r="Z57" i="2"/>
  <c r="Y57" i="2"/>
  <c r="X57" i="2"/>
  <c r="W57" i="2"/>
  <c r="V57" i="2"/>
  <c r="AF60" i="2"/>
  <c r="AE60" i="2"/>
  <c r="AG60" i="2"/>
  <c r="AG57" i="2"/>
  <c r="AF36" i="2"/>
  <c r="AE36" i="2"/>
  <c r="AD36" i="2"/>
  <c r="AC36" i="2"/>
  <c r="AB36" i="2"/>
  <c r="AA36" i="2"/>
  <c r="Z36" i="2"/>
  <c r="Y36" i="2"/>
  <c r="X36" i="2"/>
  <c r="AF7" i="2"/>
  <c r="AE7" i="2"/>
  <c r="AD7" i="2"/>
  <c r="AC7" i="2"/>
  <c r="AB7" i="2"/>
  <c r="AG7" i="2"/>
  <c r="AG36" i="2"/>
  <c r="Z10" i="2"/>
  <c r="AA15" i="2" s="1"/>
  <c r="Z5" i="2"/>
  <c r="AA6" i="2"/>
  <c r="AA5" i="2"/>
  <c r="Z6" i="2"/>
  <c r="Y6" i="2"/>
  <c r="Y5" i="2"/>
  <c r="W6" i="2"/>
  <c r="W5" i="2"/>
  <c r="X6" i="2"/>
  <c r="X5" i="2"/>
  <c r="P147" i="2"/>
  <c r="Q147" i="2" s="1"/>
  <c r="O155" i="2"/>
  <c r="P155" i="2" s="1"/>
  <c r="O154" i="2"/>
  <c r="P154" i="2" s="1"/>
  <c r="O153" i="2"/>
  <c r="P153" i="2" s="1"/>
  <c r="O152" i="2"/>
  <c r="P152" i="2" s="1"/>
  <c r="O151" i="2"/>
  <c r="P151" i="2" s="1"/>
  <c r="O150" i="2"/>
  <c r="P150" i="2" s="1"/>
  <c r="Q150" i="2" s="1"/>
  <c r="O148" i="2"/>
  <c r="P148" i="2" s="1"/>
  <c r="O146" i="2"/>
  <c r="P146" i="2" s="1"/>
  <c r="O145" i="2"/>
  <c r="O144" i="2"/>
  <c r="P144" i="2" s="1"/>
  <c r="K155" i="2"/>
  <c r="L155" i="2" s="1"/>
  <c r="K154" i="2"/>
  <c r="K153" i="2"/>
  <c r="L153" i="2" s="1"/>
  <c r="K152" i="2"/>
  <c r="L152" i="2" s="1"/>
  <c r="M152" i="2" s="1"/>
  <c r="K151" i="2"/>
  <c r="L151" i="2" s="1"/>
  <c r="K150" i="2"/>
  <c r="L150" i="2" s="1"/>
  <c r="K148" i="2"/>
  <c r="L148" i="2" s="1"/>
  <c r="K147" i="2"/>
  <c r="L147" i="2" s="1"/>
  <c r="M147" i="2" s="1"/>
  <c r="K146" i="2"/>
  <c r="L146" i="2" s="1"/>
  <c r="K145" i="2"/>
  <c r="L145" i="2" s="1"/>
  <c r="M145" i="2" s="1"/>
  <c r="K144" i="2"/>
  <c r="L144" i="2" s="1"/>
  <c r="G155" i="2"/>
  <c r="G154" i="2"/>
  <c r="H154" i="2" s="1"/>
  <c r="G153" i="2"/>
  <c r="H153" i="2" s="1"/>
  <c r="G152" i="2"/>
  <c r="H152" i="2" s="1"/>
  <c r="I152" i="2" s="1"/>
  <c r="G151" i="2"/>
  <c r="H151" i="2" s="1"/>
  <c r="G150" i="2"/>
  <c r="G149" i="2"/>
  <c r="G148" i="2"/>
  <c r="G147" i="2"/>
  <c r="H147" i="2" s="1"/>
  <c r="G146" i="2"/>
  <c r="H146" i="2" s="1"/>
  <c r="I146" i="2" s="1"/>
  <c r="G145" i="2"/>
  <c r="H145" i="2" s="1"/>
  <c r="I145" i="2" s="1"/>
  <c r="G144" i="2"/>
  <c r="H144" i="2" s="1"/>
  <c r="E147" i="2"/>
  <c r="D150" i="2"/>
  <c r="E150" i="2" s="1"/>
  <c r="C155" i="2"/>
  <c r="C154" i="2"/>
  <c r="D154" i="2" s="1"/>
  <c r="E154" i="2" s="1"/>
  <c r="C153" i="2"/>
  <c r="D153" i="2" s="1"/>
  <c r="E153" i="2" s="1"/>
  <c r="C152" i="2"/>
  <c r="D152" i="2" s="1"/>
  <c r="E152" i="2" s="1"/>
  <c r="C151" i="2"/>
  <c r="D151" i="2" s="1"/>
  <c r="E151" i="2" s="1"/>
  <c r="C149" i="2"/>
  <c r="C148" i="2"/>
  <c r="C146" i="2"/>
  <c r="D146" i="2" s="1"/>
  <c r="C145" i="2"/>
  <c r="D145" i="2" s="1"/>
  <c r="E145" i="2" s="1"/>
  <c r="C144" i="2"/>
  <c r="D144" i="2" s="1"/>
  <c r="E144" i="2" s="1"/>
  <c r="N156" i="2"/>
  <c r="N157" i="2" s="1"/>
  <c r="J156" i="2"/>
  <c r="J157" i="2" s="1"/>
  <c r="F156" i="2"/>
  <c r="F157" i="2" s="1"/>
  <c r="B156" i="2"/>
  <c r="B157" i="2" s="1"/>
  <c r="AI105" i="2" l="1"/>
  <c r="AD67" i="2"/>
  <c r="AE67" i="2"/>
  <c r="AH92" i="2"/>
  <c r="AH100" i="2"/>
  <c r="AI90" i="2"/>
  <c r="AI92" i="2" s="1"/>
  <c r="AI101" i="2" s="1"/>
  <c r="AA67" i="2"/>
  <c r="W67" i="2"/>
  <c r="AG67" i="2"/>
  <c r="AC67" i="2"/>
  <c r="AF67" i="2"/>
  <c r="Y67" i="2"/>
  <c r="Z67" i="2"/>
  <c r="X67" i="2"/>
  <c r="AB67" i="2"/>
  <c r="AF66" i="2"/>
  <c r="AE66" i="2"/>
  <c r="AG66" i="2"/>
  <c r="AE65" i="2"/>
  <c r="Z14" i="2"/>
  <c r="AA65" i="2"/>
  <c r="X64" i="2"/>
  <c r="AA64" i="2"/>
  <c r="X65" i="2"/>
  <c r="W64" i="2"/>
  <c r="W65" i="2"/>
  <c r="Y64" i="2"/>
  <c r="Y65" i="2"/>
  <c r="Z65" i="2"/>
  <c r="Z64" i="2"/>
  <c r="AB64" i="2"/>
  <c r="AC64" i="2"/>
  <c r="AD64" i="2"/>
  <c r="AE64" i="2"/>
  <c r="AF65" i="2"/>
  <c r="AG65" i="2"/>
  <c r="AG52" i="2"/>
  <c r="AB37" i="2"/>
  <c r="AG37" i="2"/>
  <c r="AF25" i="2"/>
  <c r="Z37" i="2"/>
  <c r="AA37" i="2"/>
  <c r="AC25" i="2"/>
  <c r="AE37" i="2"/>
  <c r="AB25" i="2"/>
  <c r="AD37" i="2"/>
  <c r="AF37" i="2"/>
  <c r="Z25" i="2"/>
  <c r="AG25" i="2"/>
  <c r="AD25" i="2"/>
  <c r="Y37" i="2"/>
  <c r="AC37" i="2"/>
  <c r="X37" i="2"/>
  <c r="AE25" i="2"/>
  <c r="Y25" i="2"/>
  <c r="AA25" i="2"/>
  <c r="X25" i="2"/>
  <c r="AG8" i="2"/>
  <c r="AF8" i="2"/>
  <c r="AD8" i="2"/>
  <c r="AE8" i="2"/>
  <c r="AC8" i="2"/>
  <c r="Y7" i="2"/>
  <c r="Y41" i="2" s="1"/>
  <c r="AG41" i="2"/>
  <c r="AE41" i="2"/>
  <c r="X7" i="2"/>
  <c r="W7" i="2"/>
  <c r="W41" i="2" s="1"/>
  <c r="AB41" i="2"/>
  <c r="Z7" i="2"/>
  <c r="AC41" i="2"/>
  <c r="AD41" i="2"/>
  <c r="AA7" i="2"/>
  <c r="AF41" i="2"/>
  <c r="M148" i="2"/>
  <c r="M146" i="2"/>
  <c r="M150" i="2"/>
  <c r="H155" i="2"/>
  <c r="I155" i="2" s="1"/>
  <c r="Q151" i="2"/>
  <c r="Q152" i="2"/>
  <c r="Q153" i="2"/>
  <c r="Q154" i="2"/>
  <c r="Q155" i="2"/>
  <c r="I144" i="2"/>
  <c r="M151" i="2"/>
  <c r="M144" i="2"/>
  <c r="D155" i="2"/>
  <c r="E155" i="2" s="1"/>
  <c r="I153" i="2"/>
  <c r="I154" i="2"/>
  <c r="D148" i="2"/>
  <c r="H148" i="2"/>
  <c r="I148" i="2" s="1"/>
  <c r="I151" i="2"/>
  <c r="L154" i="2"/>
  <c r="L156" i="2" s="1"/>
  <c r="M155" i="2"/>
  <c r="P145" i="2"/>
  <c r="Q145" i="2" s="1"/>
  <c r="Q146" i="2"/>
  <c r="D149" i="2"/>
  <c r="E149" i="2" s="1"/>
  <c r="H149" i="2"/>
  <c r="I149" i="2" s="1"/>
  <c r="H150" i="2"/>
  <c r="I150" i="2" s="1"/>
  <c r="Q148" i="2"/>
  <c r="E146" i="2"/>
  <c r="I147" i="2"/>
  <c r="M153" i="2"/>
  <c r="Q144" i="2"/>
  <c r="O156" i="2"/>
  <c r="K156" i="2"/>
  <c r="G156" i="2"/>
  <c r="C156" i="2"/>
  <c r="AF105" i="2"/>
  <c r="AE105" i="2"/>
  <c r="AD105" i="2"/>
  <c r="AC105" i="2"/>
  <c r="AB105" i="2"/>
  <c r="AA105" i="2"/>
  <c r="Z105" i="2"/>
  <c r="Y105" i="2"/>
  <c r="X105" i="2"/>
  <c r="AG105" i="2"/>
  <c r="Q168" i="2"/>
  <c r="Q143" i="2"/>
  <c r="Q137" i="2"/>
  <c r="Q141" i="2"/>
  <c r="P138" i="2"/>
  <c r="Q138" i="2" s="1"/>
  <c r="O171" i="2"/>
  <c r="P171" i="2" s="1"/>
  <c r="Q171" i="2" s="1"/>
  <c r="O167" i="2"/>
  <c r="P167" i="2" s="1"/>
  <c r="O166" i="2"/>
  <c r="P166" i="2" s="1"/>
  <c r="O165" i="2"/>
  <c r="O162" i="2"/>
  <c r="P162" i="2" s="1"/>
  <c r="O160" i="2"/>
  <c r="P160" i="2" s="1"/>
  <c r="O159" i="2"/>
  <c r="P159" i="2" s="1"/>
  <c r="O142" i="2"/>
  <c r="P142" i="2" s="1"/>
  <c r="O140" i="2"/>
  <c r="P140" i="2" s="1"/>
  <c r="O136" i="2"/>
  <c r="P136" i="2" s="1"/>
  <c r="O135" i="2"/>
  <c r="P135" i="2" s="1"/>
  <c r="N169" i="2"/>
  <c r="N163" i="2"/>
  <c r="N177" i="2"/>
  <c r="F169" i="2"/>
  <c r="B169" i="2"/>
  <c r="M168" i="2"/>
  <c r="M143" i="2"/>
  <c r="M141" i="2"/>
  <c r="L139" i="2"/>
  <c r="M139" i="2" s="1"/>
  <c r="K171" i="2"/>
  <c r="L171" i="2" s="1"/>
  <c r="K167" i="2"/>
  <c r="K166" i="2"/>
  <c r="L166" i="2" s="1"/>
  <c r="K165" i="2"/>
  <c r="L165" i="2" s="1"/>
  <c r="K162" i="2"/>
  <c r="K160" i="2"/>
  <c r="K159" i="2"/>
  <c r="K142" i="2"/>
  <c r="K140" i="2"/>
  <c r="L140" i="2" s="1"/>
  <c r="K136" i="2"/>
  <c r="L136" i="2" s="1"/>
  <c r="K135" i="2"/>
  <c r="L135" i="2" s="1"/>
  <c r="J169" i="2"/>
  <c r="J163" i="2"/>
  <c r="G171" i="2"/>
  <c r="H171" i="2" s="1"/>
  <c r="G167" i="2"/>
  <c r="H167" i="2" s="1"/>
  <c r="G166" i="2"/>
  <c r="H166" i="2" s="1"/>
  <c r="G165" i="2"/>
  <c r="G162" i="2"/>
  <c r="H162" i="2" s="1"/>
  <c r="G160" i="2"/>
  <c r="H160" i="2" s="1"/>
  <c r="G159" i="2"/>
  <c r="G142" i="2"/>
  <c r="G140" i="2"/>
  <c r="H140" i="2" s="1"/>
  <c r="G136" i="2"/>
  <c r="H136" i="2" s="1"/>
  <c r="G135" i="2"/>
  <c r="F163" i="2"/>
  <c r="F181" i="2"/>
  <c r="AH106" i="2"/>
  <c r="C171" i="2"/>
  <c r="D171" i="2" s="1"/>
  <c r="E171" i="2" s="1"/>
  <c r="C167" i="2"/>
  <c r="D167" i="2" s="1"/>
  <c r="C166" i="2"/>
  <c r="D166" i="2" s="1"/>
  <c r="C165" i="2"/>
  <c r="D165" i="2" s="1"/>
  <c r="E165" i="2" s="1"/>
  <c r="C162" i="2"/>
  <c r="D162" i="2" s="1"/>
  <c r="C161" i="2"/>
  <c r="D161" i="2" s="1"/>
  <c r="C160" i="2"/>
  <c r="D160" i="2" s="1"/>
  <c r="C159" i="2"/>
  <c r="D159" i="2" s="1"/>
  <c r="C142" i="2"/>
  <c r="D142" i="2" s="1"/>
  <c r="E142" i="2" s="1"/>
  <c r="C140" i="2"/>
  <c r="D140" i="2" s="1"/>
  <c r="E140" i="2" s="1"/>
  <c r="C136" i="2"/>
  <c r="C135" i="2"/>
  <c r="D135" i="2" s="1"/>
  <c r="E135" i="2" s="1"/>
  <c r="B163" i="2"/>
  <c r="P105" i="2"/>
  <c r="O105" i="2"/>
  <c r="N105" i="2"/>
  <c r="M105" i="2"/>
  <c r="L105" i="2"/>
  <c r="K105" i="2"/>
  <c r="J105" i="2"/>
  <c r="H105" i="2"/>
  <c r="G105" i="2"/>
  <c r="F105" i="2"/>
  <c r="Q105" i="2"/>
  <c r="Q126" i="2"/>
  <c r="Q123" i="2"/>
  <c r="Q122" i="2"/>
  <c r="Q117" i="2"/>
  <c r="Q116" i="2"/>
  <c r="AG108" i="2"/>
  <c r="P126" i="2"/>
  <c r="P123" i="2"/>
  <c r="P122" i="2"/>
  <c r="P117" i="2"/>
  <c r="P116" i="2"/>
  <c r="P108" i="2"/>
  <c r="O126" i="2"/>
  <c r="O123" i="2"/>
  <c r="O122" i="2"/>
  <c r="O116" i="2"/>
  <c r="O117" i="2"/>
  <c r="O115" i="2"/>
  <c r="O108" i="2"/>
  <c r="N123" i="2"/>
  <c r="N126" i="2"/>
  <c r="N122" i="2"/>
  <c r="N117" i="2"/>
  <c r="N116" i="2"/>
  <c r="N115" i="2"/>
  <c r="N108" i="2"/>
  <c r="M126" i="2"/>
  <c r="M123" i="2"/>
  <c r="M122" i="2"/>
  <c r="M117" i="2"/>
  <c r="M116" i="2"/>
  <c r="M115" i="2"/>
  <c r="M108" i="2"/>
  <c r="L126" i="2"/>
  <c r="L123" i="2"/>
  <c r="L122" i="2"/>
  <c r="L117" i="2"/>
  <c r="L116" i="2"/>
  <c r="L115" i="2"/>
  <c r="L108" i="2"/>
  <c r="K126" i="2"/>
  <c r="K123" i="2"/>
  <c r="K122" i="2"/>
  <c r="K117" i="2"/>
  <c r="K116" i="2"/>
  <c r="K115" i="2"/>
  <c r="K108" i="2"/>
  <c r="J126" i="2"/>
  <c r="J123" i="2"/>
  <c r="J122" i="2"/>
  <c r="J117" i="2"/>
  <c r="J116" i="2"/>
  <c r="J115" i="2"/>
  <c r="J108" i="2"/>
  <c r="I126" i="2"/>
  <c r="I123" i="2"/>
  <c r="I122" i="2"/>
  <c r="H120" i="2"/>
  <c r="G120" i="2"/>
  <c r="F120" i="2"/>
  <c r="E120" i="2"/>
  <c r="D120" i="2"/>
  <c r="C120" i="2"/>
  <c r="I117" i="2"/>
  <c r="I116" i="2"/>
  <c r="I115" i="2"/>
  <c r="I108" i="2"/>
  <c r="H126" i="2"/>
  <c r="H123" i="2"/>
  <c r="H122" i="2"/>
  <c r="H117" i="2"/>
  <c r="H116" i="2"/>
  <c r="H115" i="2"/>
  <c r="H108" i="2"/>
  <c r="G126" i="2"/>
  <c r="G123" i="2"/>
  <c r="G122" i="2"/>
  <c r="G117" i="2"/>
  <c r="G116" i="2"/>
  <c r="G115" i="2"/>
  <c r="G108" i="2"/>
  <c r="F126" i="2"/>
  <c r="F123" i="2"/>
  <c r="F122" i="2"/>
  <c r="F117" i="2"/>
  <c r="F116" i="2"/>
  <c r="F115" i="2"/>
  <c r="F108" i="2"/>
  <c r="E126" i="2"/>
  <c r="E123" i="2"/>
  <c r="E122" i="2"/>
  <c r="E117" i="2"/>
  <c r="E116" i="2"/>
  <c r="E115" i="2"/>
  <c r="E108" i="2"/>
  <c r="D126" i="2"/>
  <c r="D123" i="2"/>
  <c r="D122" i="2"/>
  <c r="D115" i="2"/>
  <c r="D116" i="2"/>
  <c r="D117" i="2"/>
  <c r="C116" i="2"/>
  <c r="B116" i="2"/>
  <c r="AJ105" i="2" l="1"/>
  <c r="AI100" i="2"/>
  <c r="BA104" i="2"/>
  <c r="AH94" i="2"/>
  <c r="AH101" i="2"/>
  <c r="AG39" i="2"/>
  <c r="AD39" i="2"/>
  <c r="AF39" i="2"/>
  <c r="AE39" i="2"/>
  <c r="AC39" i="2"/>
  <c r="Z41" i="2"/>
  <c r="Z39" i="2" s="1"/>
  <c r="Z8" i="2"/>
  <c r="X41" i="2"/>
  <c r="Y39" i="2" s="1"/>
  <c r="X8" i="2"/>
  <c r="Y8" i="2"/>
  <c r="AA41" i="2"/>
  <c r="AA8" i="2"/>
  <c r="AB8" i="2"/>
  <c r="Q160" i="2"/>
  <c r="Q156" i="2"/>
  <c r="D156" i="2"/>
  <c r="I156" i="2"/>
  <c r="Q142" i="2"/>
  <c r="Q159" i="2"/>
  <c r="C157" i="2"/>
  <c r="M154" i="2"/>
  <c r="M156" i="2" s="1"/>
  <c r="H156" i="2"/>
  <c r="E148" i="2"/>
  <c r="E156" i="2" s="1"/>
  <c r="Q136" i="2"/>
  <c r="Q140" i="2"/>
  <c r="Q162" i="2"/>
  <c r="K157" i="2"/>
  <c r="K180" i="2" s="1"/>
  <c r="Q166" i="2"/>
  <c r="O157" i="2"/>
  <c r="Q135" i="2"/>
  <c r="Q167" i="2"/>
  <c r="H135" i="2"/>
  <c r="G157" i="2"/>
  <c r="M171" i="2"/>
  <c r="K163" i="2"/>
  <c r="P163" i="2"/>
  <c r="O169" i="2"/>
  <c r="O163" i="2"/>
  <c r="L160" i="2"/>
  <c r="M160" i="2" s="1"/>
  <c r="K169" i="2"/>
  <c r="P165" i="2"/>
  <c r="P169" i="2" s="1"/>
  <c r="L162" i="2"/>
  <c r="M162" i="2" s="1"/>
  <c r="M165" i="2"/>
  <c r="N180" i="2"/>
  <c r="N181" i="2"/>
  <c r="N172" i="2"/>
  <c r="G163" i="2"/>
  <c r="M140" i="2"/>
  <c r="L142" i="2"/>
  <c r="M166" i="2"/>
  <c r="J181" i="2"/>
  <c r="M135" i="2"/>
  <c r="L159" i="2"/>
  <c r="M136" i="2"/>
  <c r="L167" i="2"/>
  <c r="M167" i="2" s="1"/>
  <c r="J172" i="2"/>
  <c r="I166" i="2"/>
  <c r="J177" i="2"/>
  <c r="J180" i="2"/>
  <c r="I171" i="2"/>
  <c r="H142" i="2"/>
  <c r="I142" i="2" s="1"/>
  <c r="I160" i="2"/>
  <c r="I162" i="2"/>
  <c r="I167" i="2"/>
  <c r="E162" i="2"/>
  <c r="G169" i="2"/>
  <c r="H159" i="2"/>
  <c r="H163" i="2" s="1"/>
  <c r="E159" i="2"/>
  <c r="E161" i="2"/>
  <c r="I136" i="2"/>
  <c r="E166" i="2"/>
  <c r="H165" i="2"/>
  <c r="H169" i="2" s="1"/>
  <c r="I140" i="2"/>
  <c r="F180" i="2"/>
  <c r="E160" i="2"/>
  <c r="F172" i="2"/>
  <c r="F177" i="2"/>
  <c r="E167" i="2"/>
  <c r="J127" i="2"/>
  <c r="D163" i="2"/>
  <c r="Q127" i="2"/>
  <c r="C169" i="2"/>
  <c r="D169" i="2"/>
  <c r="C163" i="2"/>
  <c r="D136" i="2"/>
  <c r="N118" i="2"/>
  <c r="B181" i="2"/>
  <c r="B180" i="2"/>
  <c r="B177" i="2"/>
  <c r="B172" i="2"/>
  <c r="K118" i="2"/>
  <c r="L127" i="2"/>
  <c r="Q118" i="2"/>
  <c r="P127" i="2"/>
  <c r="P118" i="2"/>
  <c r="O127" i="2"/>
  <c r="O118" i="2"/>
  <c r="N127" i="2"/>
  <c r="M127" i="2"/>
  <c r="M118" i="2"/>
  <c r="L118" i="2"/>
  <c r="K127" i="2"/>
  <c r="J118" i="2"/>
  <c r="I127" i="2"/>
  <c r="I118" i="2"/>
  <c r="H127" i="2"/>
  <c r="H118" i="2"/>
  <c r="G127" i="2"/>
  <c r="G118" i="2"/>
  <c r="F127" i="2"/>
  <c r="F118" i="2"/>
  <c r="E127" i="2"/>
  <c r="E118" i="2"/>
  <c r="D127" i="2"/>
  <c r="D118" i="2"/>
  <c r="D108" i="2"/>
  <c r="C126" i="2"/>
  <c r="C123" i="2"/>
  <c r="C122" i="2"/>
  <c r="B126" i="2"/>
  <c r="B123" i="2"/>
  <c r="B122" i="2"/>
  <c r="C117" i="2"/>
  <c r="C115" i="2"/>
  <c r="C108" i="2"/>
  <c r="B108" i="2"/>
  <c r="B117" i="2"/>
  <c r="B118" i="2" s="1"/>
  <c r="W90" i="2"/>
  <c r="W100" i="2" s="1"/>
  <c r="X106" i="2"/>
  <c r="X90" i="2"/>
  <c r="X92" i="2" s="1"/>
  <c r="Y106" i="2"/>
  <c r="Y90" i="2"/>
  <c r="Y92" i="2" s="1"/>
  <c r="Z106" i="2"/>
  <c r="Z90" i="2"/>
  <c r="Z92" i="2" s="1"/>
  <c r="AA106" i="2"/>
  <c r="AA90" i="2"/>
  <c r="AA100" i="2" s="1"/>
  <c r="AC106" i="2"/>
  <c r="AB106" i="2"/>
  <c r="AB90" i="2"/>
  <c r="AB100" i="2" s="1"/>
  <c r="AH95" i="2" l="1"/>
  <c r="AH96" i="2" s="1"/>
  <c r="AH108" i="2" s="1"/>
  <c r="AK105" i="2"/>
  <c r="AJ90" i="2"/>
  <c r="AA39" i="2"/>
  <c r="X39" i="2"/>
  <c r="AB39" i="2"/>
  <c r="N128" i="2"/>
  <c r="N129" i="2" s="1"/>
  <c r="D157" i="2"/>
  <c r="D181" i="2" s="1"/>
  <c r="Q163" i="2"/>
  <c r="H157" i="2"/>
  <c r="Q157" i="2"/>
  <c r="M142" i="2"/>
  <c r="M157" i="2" s="1"/>
  <c r="L157" i="2"/>
  <c r="I135" i="2"/>
  <c r="I157" i="2" s="1"/>
  <c r="Q165" i="2"/>
  <c r="Q169" i="2" s="1"/>
  <c r="O181" i="2"/>
  <c r="M169" i="2"/>
  <c r="L163" i="2"/>
  <c r="K181" i="2"/>
  <c r="K177" i="2"/>
  <c r="M159" i="2"/>
  <c r="M163" i="2" s="1"/>
  <c r="K172" i="2"/>
  <c r="L169" i="2"/>
  <c r="B127" i="2"/>
  <c r="B128" i="2" s="1"/>
  <c r="B129" i="2" s="1"/>
  <c r="I165" i="2"/>
  <c r="I169" i="2" s="1"/>
  <c r="E163" i="2"/>
  <c r="I159" i="2"/>
  <c r="I163" i="2" s="1"/>
  <c r="E169" i="2"/>
  <c r="C177" i="2"/>
  <c r="Q128" i="2"/>
  <c r="Q129" i="2" s="1"/>
  <c r="E136" i="2"/>
  <c r="E157" i="2" s="1"/>
  <c r="J128" i="2"/>
  <c r="J129" i="2" s="1"/>
  <c r="G181" i="2"/>
  <c r="G180" i="2"/>
  <c r="G177" i="2"/>
  <c r="G172" i="2"/>
  <c r="K128" i="2"/>
  <c r="K129" i="2" s="1"/>
  <c r="L128" i="2"/>
  <c r="L129" i="2" s="1"/>
  <c r="C127" i="2"/>
  <c r="P128" i="2"/>
  <c r="P129" i="2" s="1"/>
  <c r="O128" i="2"/>
  <c r="O129" i="2" s="1"/>
  <c r="M128" i="2"/>
  <c r="M129" i="2" s="1"/>
  <c r="H128" i="2"/>
  <c r="H129" i="2" s="1"/>
  <c r="I128" i="2"/>
  <c r="I129" i="2" s="1"/>
  <c r="G128" i="2"/>
  <c r="G129" i="2" s="1"/>
  <c r="F128" i="2"/>
  <c r="F129" i="2" s="1"/>
  <c r="E128" i="2"/>
  <c r="E129" i="2" s="1"/>
  <c r="D128" i="2"/>
  <c r="D129" i="2" s="1"/>
  <c r="C118" i="2"/>
  <c r="W92" i="2"/>
  <c r="X100" i="2"/>
  <c r="X101" i="2"/>
  <c r="X94" i="2"/>
  <c r="Y94" i="2"/>
  <c r="Y101" i="2"/>
  <c r="Y100" i="2"/>
  <c r="Z101" i="2"/>
  <c r="Z94" i="2"/>
  <c r="Z100" i="2"/>
  <c r="AA92" i="2"/>
  <c r="AB92" i="2"/>
  <c r="Q88" i="2"/>
  <c r="AG106" i="2"/>
  <c r="AG90" i="2"/>
  <c r="AG100" i="2" s="1"/>
  <c r="P106" i="2"/>
  <c r="P90" i="2"/>
  <c r="P92" i="2" s="1"/>
  <c r="O106" i="2"/>
  <c r="O90" i="2"/>
  <c r="O100" i="2" s="1"/>
  <c r="N90" i="2"/>
  <c r="M88" i="2"/>
  <c r="AF106" i="2"/>
  <c r="AF90" i="2"/>
  <c r="AF100" i="2" s="1"/>
  <c r="L106" i="2"/>
  <c r="L90" i="2"/>
  <c r="L92" i="2" s="1"/>
  <c r="K106" i="2"/>
  <c r="K90" i="2"/>
  <c r="K92" i="2" s="1"/>
  <c r="J106" i="2"/>
  <c r="J90" i="2"/>
  <c r="J100" i="2" s="1"/>
  <c r="I90" i="2"/>
  <c r="I100" i="2" s="1"/>
  <c r="E93" i="2"/>
  <c r="E91" i="2"/>
  <c r="E89" i="2"/>
  <c r="E88" i="2"/>
  <c r="AD106" i="2"/>
  <c r="AC90" i="2"/>
  <c r="AC92" i="2" s="1"/>
  <c r="AE106" i="2"/>
  <c r="AD90" i="2"/>
  <c r="AD92" i="2" s="1"/>
  <c r="AE90" i="2"/>
  <c r="AE100" i="2" s="1"/>
  <c r="H106" i="2"/>
  <c r="H90" i="2"/>
  <c r="H92" i="2" s="1"/>
  <c r="D90" i="2"/>
  <c r="D100" i="2" s="1"/>
  <c r="G106" i="2"/>
  <c r="G90" i="2"/>
  <c r="G92" i="2" s="1"/>
  <c r="C90" i="2"/>
  <c r="C92" i="2" s="1"/>
  <c r="F106" i="2"/>
  <c r="F90" i="2"/>
  <c r="F100" i="2" s="1"/>
  <c r="B90" i="2"/>
  <c r="B100" i="2" s="1"/>
  <c r="AC3" i="2"/>
  <c r="AD3" i="2" s="1"/>
  <c r="AE3" i="2" s="1"/>
  <c r="AF3" i="2" s="1"/>
  <c r="AG3" i="2" s="1"/>
  <c r="AH3" i="2" s="1"/>
  <c r="AI3" i="2" s="1"/>
  <c r="AJ3" i="2" s="1"/>
  <c r="AK3" i="2" s="1"/>
  <c r="AL3" i="2" s="1"/>
  <c r="AM3" i="2" s="1"/>
  <c r="AN3" i="2" s="1"/>
  <c r="AO3" i="2" s="1"/>
  <c r="AP3" i="2" s="1"/>
  <c r="AQ3" i="2" s="1"/>
  <c r="AR3" i="2" s="1"/>
  <c r="AS3" i="2" s="1"/>
  <c r="AT3" i="2" s="1"/>
  <c r="AU3" i="2" s="1"/>
  <c r="AV3" i="2" s="1"/>
  <c r="AW3" i="2" s="1"/>
  <c r="P6" i="1"/>
  <c r="P9" i="1" s="1"/>
  <c r="P10" i="1" s="1"/>
  <c r="I105" i="2" l="1"/>
  <c r="M106" i="2"/>
  <c r="AL105" i="2"/>
  <c r="AJ92" i="2"/>
  <c r="AJ101" i="2" s="1"/>
  <c r="AJ100" i="2"/>
  <c r="AK90" i="2"/>
  <c r="AI93" i="2"/>
  <c r="AH102" i="2"/>
  <c r="AH97" i="2"/>
  <c r="Q180" i="2"/>
  <c r="Q172" i="2"/>
  <c r="Q177" i="2"/>
  <c r="Q181" i="2"/>
  <c r="O172" i="2"/>
  <c r="L172" i="2"/>
  <c r="O180" i="2"/>
  <c r="O177" i="2"/>
  <c r="M181" i="2"/>
  <c r="M172" i="2"/>
  <c r="M177" i="2"/>
  <c r="M180" i="2"/>
  <c r="E181" i="2"/>
  <c r="I172" i="2"/>
  <c r="C180" i="2"/>
  <c r="C181" i="2"/>
  <c r="C172" i="2"/>
  <c r="C173" i="2" s="1"/>
  <c r="H172" i="2"/>
  <c r="H181" i="2"/>
  <c r="H180" i="2"/>
  <c r="H177" i="2"/>
  <c r="D177" i="2"/>
  <c r="D180" i="2"/>
  <c r="D172" i="2"/>
  <c r="C128" i="2"/>
  <c r="C129" i="2" s="1"/>
  <c r="W101" i="2"/>
  <c r="W94" i="2"/>
  <c r="X103" i="2"/>
  <c r="X96" i="2"/>
  <c r="Y103" i="2"/>
  <c r="Y96" i="2"/>
  <c r="Z103" i="2"/>
  <c r="Z96" i="2"/>
  <c r="AA94" i="2"/>
  <c r="AA101" i="2"/>
  <c r="AB94" i="2"/>
  <c r="AB101" i="2"/>
  <c r="D92" i="2"/>
  <c r="I92" i="2"/>
  <c r="AE92" i="2"/>
  <c r="B92" i="2"/>
  <c r="B94" i="2" s="1"/>
  <c r="B96" i="2" s="1"/>
  <c r="Q106" i="2"/>
  <c r="E90" i="2"/>
  <c r="E92" i="2" s="1"/>
  <c r="M90" i="2"/>
  <c r="M100" i="2" s="1"/>
  <c r="J92" i="2"/>
  <c r="F92" i="2"/>
  <c r="Q90" i="2"/>
  <c r="Q100" i="2" s="1"/>
  <c r="AG92" i="2"/>
  <c r="P101" i="2"/>
  <c r="P94" i="2"/>
  <c r="P100" i="2"/>
  <c r="O92" i="2"/>
  <c r="O94" i="2" s="1"/>
  <c r="O96" i="2" s="1"/>
  <c r="N100" i="2"/>
  <c r="N92" i="2"/>
  <c r="N106" i="2"/>
  <c r="AF92" i="2"/>
  <c r="I106" i="2"/>
  <c r="AC94" i="2"/>
  <c r="L101" i="2"/>
  <c r="L94" i="2"/>
  <c r="L100" i="2"/>
  <c r="K94" i="2"/>
  <c r="K100" i="2"/>
  <c r="AC100" i="2"/>
  <c r="AD101" i="2"/>
  <c r="AD100" i="2"/>
  <c r="H94" i="2"/>
  <c r="H100" i="2"/>
  <c r="G94" i="2"/>
  <c r="G100" i="2"/>
  <c r="C101" i="2"/>
  <c r="C94" i="2"/>
  <c r="C100" i="2"/>
  <c r="O134" i="2" l="1"/>
  <c r="B134" i="2"/>
  <c r="AI94" i="2"/>
  <c r="AM105" i="2"/>
  <c r="AL90" i="2"/>
  <c r="AK92" i="2"/>
  <c r="AK101" i="2" s="1"/>
  <c r="AK100" i="2"/>
  <c r="L177" i="2"/>
  <c r="L181" i="2"/>
  <c r="L180" i="2"/>
  <c r="D173" i="2"/>
  <c r="I181" i="2"/>
  <c r="I180" i="2"/>
  <c r="I177" i="2"/>
  <c r="E172" i="2"/>
  <c r="E180" i="2"/>
  <c r="E177" i="2"/>
  <c r="G178" i="2" s="1"/>
  <c r="W103" i="2"/>
  <c r="W96" i="2"/>
  <c r="X102" i="2"/>
  <c r="X97" i="2"/>
  <c r="Y102" i="2"/>
  <c r="Y97" i="2"/>
  <c r="Z102" i="2"/>
  <c r="Z97" i="2"/>
  <c r="AA96" i="2"/>
  <c r="AA103" i="2"/>
  <c r="AB103" i="2"/>
  <c r="AB96" i="2"/>
  <c r="B103" i="2"/>
  <c r="B101" i="2"/>
  <c r="M92" i="2"/>
  <c r="M101" i="2" s="1"/>
  <c r="E100" i="2"/>
  <c r="Q92" i="2"/>
  <c r="Q101" i="2" s="1"/>
  <c r="AG94" i="2"/>
  <c r="AG96" i="2" s="1"/>
  <c r="AG101" i="2"/>
  <c r="P103" i="2"/>
  <c r="P96" i="2"/>
  <c r="P134" i="2" s="1"/>
  <c r="O103" i="2"/>
  <c r="O101" i="2"/>
  <c r="O97" i="2"/>
  <c r="O102" i="2"/>
  <c r="N101" i="2"/>
  <c r="N94" i="2"/>
  <c r="AF101" i="2"/>
  <c r="AF94" i="2"/>
  <c r="K101" i="2"/>
  <c r="AC101" i="2"/>
  <c r="B97" i="2"/>
  <c r="B102" i="2"/>
  <c r="E94" i="2"/>
  <c r="E101" i="2"/>
  <c r="L103" i="2"/>
  <c r="L96" i="2"/>
  <c r="K103" i="2"/>
  <c r="K96" i="2"/>
  <c r="J101" i="2"/>
  <c r="J94" i="2"/>
  <c r="I101" i="2"/>
  <c r="I94" i="2"/>
  <c r="AC103" i="2"/>
  <c r="AC96" i="2"/>
  <c r="AD94" i="2"/>
  <c r="AD103" i="2" s="1"/>
  <c r="AE101" i="2"/>
  <c r="AE94" i="2"/>
  <c r="H101" i="2"/>
  <c r="H103" i="2"/>
  <c r="H96" i="2"/>
  <c r="D101" i="2"/>
  <c r="D94" i="2"/>
  <c r="G101" i="2"/>
  <c r="G103" i="2"/>
  <c r="G96" i="2"/>
  <c r="C103" i="2"/>
  <c r="C96" i="2"/>
  <c r="F101" i="2"/>
  <c r="F94" i="2"/>
  <c r="H134" i="2" l="1"/>
  <c r="L134" i="2"/>
  <c r="AI95" i="2"/>
  <c r="AI96" i="2" s="1"/>
  <c r="G134" i="2"/>
  <c r="K134" i="2"/>
  <c r="C134" i="2"/>
  <c r="L178" i="2"/>
  <c r="J178" i="2"/>
  <c r="O178" i="2"/>
  <c r="M178" i="2"/>
  <c r="N178" i="2"/>
  <c r="I178" i="2"/>
  <c r="K178" i="2"/>
  <c r="H178" i="2"/>
  <c r="F178" i="2"/>
  <c r="AN105" i="2"/>
  <c r="AL92" i="2"/>
  <c r="AL101" i="2" s="1"/>
  <c r="AL100" i="2"/>
  <c r="AM90" i="2"/>
  <c r="E173" i="2"/>
  <c r="F173" i="2" s="1"/>
  <c r="G173" i="2" s="1"/>
  <c r="H173" i="2" s="1"/>
  <c r="I173" i="2" s="1"/>
  <c r="J173" i="2" s="1"/>
  <c r="K173" i="2" s="1"/>
  <c r="L173" i="2" s="1"/>
  <c r="M173" i="2" s="1"/>
  <c r="N173" i="2" s="1"/>
  <c r="O173" i="2" s="1"/>
  <c r="W102" i="2"/>
  <c r="W97" i="2"/>
  <c r="AA97" i="2"/>
  <c r="AA102" i="2"/>
  <c r="AB102" i="2"/>
  <c r="AB97" i="2"/>
  <c r="M94" i="2"/>
  <c r="M103" i="2" s="1"/>
  <c r="Q94" i="2"/>
  <c r="Q96" i="2" s="1"/>
  <c r="Q134" i="2" s="1"/>
  <c r="AG103" i="2"/>
  <c r="P102" i="2"/>
  <c r="P97" i="2"/>
  <c r="N96" i="2"/>
  <c r="N103" i="2"/>
  <c r="AF103" i="2"/>
  <c r="AF96" i="2"/>
  <c r="E96" i="2"/>
  <c r="E103" i="2"/>
  <c r="L102" i="2"/>
  <c r="L97" i="2"/>
  <c r="K102" i="2"/>
  <c r="K97" i="2"/>
  <c r="J96" i="2"/>
  <c r="J103" i="2"/>
  <c r="I103" i="2"/>
  <c r="I96" i="2"/>
  <c r="J131" i="2" s="1"/>
  <c r="J132" i="2" s="1"/>
  <c r="AC102" i="2"/>
  <c r="AC97" i="2"/>
  <c r="AD96" i="2"/>
  <c r="AD102" i="2" s="1"/>
  <c r="AE103" i="2"/>
  <c r="AE96" i="2"/>
  <c r="H97" i="2"/>
  <c r="H102" i="2"/>
  <c r="D96" i="2"/>
  <c r="D103" i="2"/>
  <c r="G102" i="2"/>
  <c r="G97" i="2"/>
  <c r="C102" i="2"/>
  <c r="C97" i="2"/>
  <c r="F103" i="2"/>
  <c r="F96" i="2"/>
  <c r="R131" i="2" l="1"/>
  <c r="R132" i="2" s="1"/>
  <c r="AI97" i="2"/>
  <c r="AI108" i="2"/>
  <c r="AI102" i="2"/>
  <c r="E134" i="2"/>
  <c r="H131" i="2"/>
  <c r="H132" i="2" s="1"/>
  <c r="I134" i="2"/>
  <c r="L131" i="2"/>
  <c r="L132" i="2" s="1"/>
  <c r="D134" i="2"/>
  <c r="G131" i="2"/>
  <c r="G132" i="2" s="1"/>
  <c r="E131" i="2"/>
  <c r="E132" i="2" s="1"/>
  <c r="N134" i="2"/>
  <c r="Q131" i="2"/>
  <c r="Q132" i="2" s="1"/>
  <c r="K131" i="2"/>
  <c r="K132" i="2" s="1"/>
  <c r="F134" i="2"/>
  <c r="I131" i="2"/>
  <c r="I132" i="2" s="1"/>
  <c r="J134" i="2"/>
  <c r="F131" i="2"/>
  <c r="F132" i="2" s="1"/>
  <c r="AO105" i="2"/>
  <c r="AM92" i="2"/>
  <c r="AM101" i="2" s="1"/>
  <c r="AM100" i="2"/>
  <c r="AN90" i="2"/>
  <c r="M96" i="2"/>
  <c r="Q103" i="2"/>
  <c r="AG97" i="2"/>
  <c r="Q102" i="2"/>
  <c r="Q97" i="2"/>
  <c r="N97" i="2"/>
  <c r="N102" i="2"/>
  <c r="AF102" i="2"/>
  <c r="AF97" i="2"/>
  <c r="E97" i="2"/>
  <c r="E102" i="2"/>
  <c r="J97" i="2"/>
  <c r="J102" i="2"/>
  <c r="I102" i="2"/>
  <c r="I97" i="2"/>
  <c r="AD97" i="2"/>
  <c r="AE102" i="2"/>
  <c r="AE97" i="2"/>
  <c r="D102" i="2"/>
  <c r="D97" i="2"/>
  <c r="F102" i="2"/>
  <c r="F97" i="2"/>
  <c r="AJ93" i="2" l="1"/>
  <c r="AJ94" i="2" s="1"/>
  <c r="AJ95" i="2" s="1"/>
  <c r="AJ96" i="2" s="1"/>
  <c r="P131" i="2"/>
  <c r="P132" i="2" s="1"/>
  <c r="O131" i="2"/>
  <c r="O132" i="2" s="1"/>
  <c r="N131" i="2"/>
  <c r="N132" i="2" s="1"/>
  <c r="M131" i="2"/>
  <c r="M132" i="2" s="1"/>
  <c r="AP105" i="2"/>
  <c r="AN100" i="2"/>
  <c r="AN92" i="2"/>
  <c r="AN101" i="2" s="1"/>
  <c r="AO90" i="2"/>
  <c r="M102" i="2"/>
  <c r="M134" i="2"/>
  <c r="M97" i="2"/>
  <c r="P156" i="2"/>
  <c r="P157" i="2" s="1"/>
  <c r="AJ97" i="2" l="1"/>
  <c r="AJ102" i="2"/>
  <c r="AJ108" i="2"/>
  <c r="AK93" i="2" s="1"/>
  <c r="AK94" i="2" s="1"/>
  <c r="AK95" i="2" s="1"/>
  <c r="AK96" i="2" s="1"/>
  <c r="AQ105" i="2"/>
  <c r="AO100" i="2"/>
  <c r="AO92" i="2"/>
  <c r="AO101" i="2" s="1"/>
  <c r="AP90" i="2"/>
  <c r="P180" i="2"/>
  <c r="P181" i="2"/>
  <c r="P172" i="2"/>
  <c r="P173" i="2" s="1"/>
  <c r="Q173" i="2" s="1"/>
  <c r="R173" i="2" s="1"/>
  <c r="P177" i="2"/>
  <c r="R178" i="2" s="1"/>
  <c r="AK102" i="2" l="1"/>
  <c r="AK97" i="2"/>
  <c r="AK108" i="2"/>
  <c r="P178" i="2"/>
  <c r="Q178" i="2"/>
  <c r="AR105" i="2"/>
  <c r="AQ90" i="2"/>
  <c r="AP92" i="2"/>
  <c r="AP101" i="2" s="1"/>
  <c r="AP100" i="2"/>
  <c r="AL93" i="2" l="1"/>
  <c r="AL94" i="2" s="1"/>
  <c r="AL95" i="2" s="1"/>
  <c r="AQ100" i="2"/>
  <c r="AQ92" i="2"/>
  <c r="AQ101" i="2" s="1"/>
  <c r="AR90" i="2"/>
  <c r="AL96" i="2" l="1"/>
  <c r="AL102" i="2" s="1"/>
  <c r="AR92" i="2"/>
  <c r="AR100" i="2"/>
  <c r="AL108" i="2" l="1"/>
  <c r="AM93" i="2" s="1"/>
  <c r="AM94" i="2" s="1"/>
  <c r="AM95" i="2" s="1"/>
  <c r="AL97" i="2"/>
  <c r="AR101" i="2"/>
  <c r="AM96" i="2" l="1"/>
  <c r="AM102" i="2" l="1"/>
  <c r="AM97" i="2"/>
  <c r="AM108" i="2"/>
  <c r="AN93" i="2" s="1"/>
  <c r="AN94" i="2" l="1"/>
  <c r="AN95" i="2" s="1"/>
  <c r="AN96" i="2" l="1"/>
  <c r="AN102" i="2" l="1"/>
  <c r="AN97" i="2"/>
  <c r="AN108" i="2"/>
  <c r="AO93" i="2" s="1"/>
  <c r="AO94" i="2" l="1"/>
  <c r="AO95" i="2" s="1"/>
  <c r="AO96" i="2" l="1"/>
  <c r="AO102" i="2" l="1"/>
  <c r="AO97" i="2"/>
  <c r="AO108" i="2"/>
  <c r="AP93" i="2" s="1"/>
  <c r="AP94" i="2" l="1"/>
  <c r="AP95" i="2" s="1"/>
  <c r="AP96" i="2" l="1"/>
  <c r="AP102" i="2" l="1"/>
  <c r="AP97" i="2"/>
  <c r="AP108" i="2"/>
  <c r="AQ93" i="2" s="1"/>
  <c r="AQ94" i="2" l="1"/>
  <c r="AQ95" i="2" l="1"/>
  <c r="AQ96" i="2" s="1"/>
  <c r="AQ108" i="2" l="1"/>
  <c r="AQ102" i="2"/>
  <c r="AQ97" i="2"/>
  <c r="AR93" i="2" l="1"/>
  <c r="AR94" i="2" s="1"/>
  <c r="AR95" i="2" s="1"/>
  <c r="AR96" i="2" s="1"/>
  <c r="AR102" i="2" s="1"/>
  <c r="AR108" i="2" l="1"/>
  <c r="AS93" i="2" s="1"/>
  <c r="AR97" i="2"/>
  <c r="AS94" i="2" l="1"/>
  <c r="AS95" i="2" l="1"/>
  <c r="AS96" i="2"/>
  <c r="AS102" i="2" l="1"/>
  <c r="AS108" i="2"/>
  <c r="AT93" i="2" s="1"/>
  <c r="AT94" i="2" s="1"/>
  <c r="AS97" i="2"/>
  <c r="AT95" i="2"/>
  <c r="AT96" i="2"/>
  <c r="AT102" i="2" l="1"/>
  <c r="AT97" i="2"/>
  <c r="AT108" i="2"/>
  <c r="AU93" i="2" l="1"/>
  <c r="AU94" i="2" s="1"/>
  <c r="AU95" i="2" l="1"/>
  <c r="AU96" i="2" s="1"/>
  <c r="AU102" i="2" l="1"/>
  <c r="AU97" i="2"/>
  <c r="AU108" i="2"/>
  <c r="AV93" i="2" l="1"/>
  <c r="AV94" i="2" s="1"/>
  <c r="AV95" i="2" l="1"/>
  <c r="AV96" i="2" s="1"/>
  <c r="AV102" i="2" l="1"/>
  <c r="AV97" i="2"/>
  <c r="AV108" i="2"/>
  <c r="AW93" i="2" l="1"/>
  <c r="AW94" i="2" s="1"/>
  <c r="AW95" i="2" l="1"/>
  <c r="AW96" i="2" s="1"/>
  <c r="AX96" i="2" s="1"/>
  <c r="AW102" i="2" l="1"/>
  <c r="AY96" i="2"/>
  <c r="AZ96" i="2" s="1"/>
  <c r="BA96" i="2" s="1"/>
  <c r="BB96" i="2" s="1"/>
  <c r="BC96" i="2" s="1"/>
  <c r="BD96" i="2" s="1"/>
  <c r="BE96" i="2" s="1"/>
  <c r="BF96" i="2" s="1"/>
  <c r="BG96" i="2" s="1"/>
  <c r="BH96" i="2" s="1"/>
  <c r="BI96" i="2" s="1"/>
  <c r="BJ96" i="2" s="1"/>
  <c r="BK96" i="2" s="1"/>
  <c r="BL96" i="2" s="1"/>
  <c r="BM96" i="2" s="1"/>
  <c r="BN96" i="2" s="1"/>
  <c r="BO96" i="2" s="1"/>
  <c r="BP96" i="2" s="1"/>
  <c r="BQ96" i="2" s="1"/>
  <c r="BR96" i="2" s="1"/>
  <c r="BS96" i="2" s="1"/>
  <c r="BT96" i="2" s="1"/>
  <c r="BU96" i="2" s="1"/>
  <c r="BV96" i="2" s="1"/>
  <c r="BW96" i="2" s="1"/>
  <c r="BX96" i="2" s="1"/>
  <c r="BY96" i="2" s="1"/>
  <c r="BZ96" i="2" s="1"/>
  <c r="CA96" i="2" s="1"/>
  <c r="CB96" i="2" s="1"/>
  <c r="CC96" i="2" s="1"/>
  <c r="CD96" i="2" s="1"/>
  <c r="CE96" i="2" s="1"/>
  <c r="CF96" i="2" s="1"/>
  <c r="CG96" i="2" s="1"/>
  <c r="CH96" i="2" s="1"/>
  <c r="CI96" i="2" s="1"/>
  <c r="CJ96" i="2" s="1"/>
  <c r="CK96" i="2" s="1"/>
  <c r="CL96" i="2" s="1"/>
  <c r="CM96" i="2" s="1"/>
  <c r="CN96" i="2" s="1"/>
  <c r="CO96" i="2" s="1"/>
  <c r="CP96" i="2" s="1"/>
  <c r="CQ96" i="2" s="1"/>
  <c r="CR96" i="2" s="1"/>
  <c r="CS96" i="2" s="1"/>
  <c r="CT96" i="2" s="1"/>
  <c r="CU96" i="2" s="1"/>
  <c r="CV96" i="2" s="1"/>
  <c r="CW96" i="2" s="1"/>
  <c r="CX96" i="2" s="1"/>
  <c r="CY96" i="2" s="1"/>
  <c r="CZ96" i="2" s="1"/>
  <c r="DA96" i="2" s="1"/>
  <c r="DB96" i="2" s="1"/>
  <c r="DC96" i="2" s="1"/>
  <c r="DD96" i="2" s="1"/>
  <c r="DE96" i="2" s="1"/>
  <c r="DF96" i="2" s="1"/>
  <c r="DG96" i="2" s="1"/>
  <c r="DH96" i="2" s="1"/>
  <c r="DI96" i="2" s="1"/>
  <c r="DJ96" i="2" s="1"/>
  <c r="DK96" i="2" s="1"/>
  <c r="DL96" i="2" s="1"/>
  <c r="DM96" i="2" s="1"/>
  <c r="DN96" i="2" s="1"/>
  <c r="DO96" i="2" s="1"/>
  <c r="DP96" i="2" s="1"/>
  <c r="DQ96" i="2" s="1"/>
  <c r="DR96" i="2" s="1"/>
  <c r="DS96" i="2" s="1"/>
  <c r="DT96" i="2" s="1"/>
  <c r="DU96" i="2" s="1"/>
  <c r="DV96" i="2" s="1"/>
  <c r="DW96" i="2" s="1"/>
  <c r="DX96" i="2" s="1"/>
  <c r="DY96" i="2" s="1"/>
  <c r="DZ96" i="2" s="1"/>
  <c r="EA96" i="2" s="1"/>
  <c r="EB96" i="2" s="1"/>
  <c r="EC96" i="2" s="1"/>
  <c r="ED96" i="2" s="1"/>
  <c r="EE96" i="2" s="1"/>
  <c r="EF96" i="2" s="1"/>
  <c r="EG96" i="2" s="1"/>
  <c r="EH96" i="2" s="1"/>
  <c r="EI96" i="2" s="1"/>
  <c r="EJ96" i="2" s="1"/>
  <c r="EK96" i="2" s="1"/>
  <c r="EL96" i="2" s="1"/>
  <c r="EM96" i="2" s="1"/>
  <c r="EN96" i="2" s="1"/>
  <c r="EO96" i="2" s="1"/>
  <c r="BA103" i="2" s="1"/>
  <c r="AW97" i="2"/>
  <c r="AW108" i="2"/>
  <c r="BA105" i="2" l="1"/>
  <c r="BA106" i="2" s="1"/>
  <c r="BA108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Dennis Hesselberth</author>
  </authors>
  <commentList>
    <comment ref="S88" authorId="0" shapeId="0" xr:uid="{8DC8E738-D3BB-42A8-91F4-2E5E18B28B91}">
      <text>
        <r>
          <rPr>
            <b/>
            <sz val="9"/>
            <color indexed="81"/>
            <rFont val="Tahoma"/>
            <charset val="1"/>
          </rPr>
          <t>Dennis Hesselberth:</t>
        </r>
        <r>
          <rPr>
            <sz val="9"/>
            <color indexed="81"/>
            <rFont val="Tahoma"/>
            <charset val="1"/>
          </rPr>
          <t xml:space="preserve">
Outlook
2400 - 2420</t>
        </r>
      </text>
    </comment>
    <comment ref="AH88" authorId="0" shapeId="0" xr:uid="{E7DE320F-966A-4813-BD88-C27F0324411C}">
      <text>
        <r>
          <rPr>
            <b/>
            <sz val="9"/>
            <color indexed="81"/>
            <rFont val="Tahoma"/>
            <charset val="1"/>
          </rPr>
          <t>Dennis Hesselberth:</t>
        </r>
        <r>
          <rPr>
            <sz val="9"/>
            <color indexed="81"/>
            <rFont val="Tahoma"/>
            <charset val="1"/>
          </rPr>
          <t xml:space="preserve">
Outlook
10,700 - 10800</t>
        </r>
      </text>
    </comment>
  </commentList>
</comments>
</file>

<file path=xl/sharedStrings.xml><?xml version="1.0" encoding="utf-8"?>
<sst xmlns="http://schemas.openxmlformats.org/spreadsheetml/2006/main" count="272" uniqueCount="235">
  <si>
    <t>Lululemon athletica</t>
  </si>
  <si>
    <t>(LULU)</t>
  </si>
  <si>
    <t>(in millions)</t>
  </si>
  <si>
    <t>Price</t>
  </si>
  <si>
    <t>Shares</t>
  </si>
  <si>
    <t>MC</t>
  </si>
  <si>
    <t>Cash</t>
  </si>
  <si>
    <t>Debt</t>
  </si>
  <si>
    <t>EV</t>
  </si>
  <si>
    <t>Revenue</t>
  </si>
  <si>
    <t>COGS</t>
  </si>
  <si>
    <t>Gross profit</t>
  </si>
  <si>
    <t>SG&amp;A</t>
  </si>
  <si>
    <t>Operating income</t>
  </si>
  <si>
    <t>Interest income(expense)</t>
  </si>
  <si>
    <t>Pretax</t>
  </si>
  <si>
    <t>Taxes</t>
  </si>
  <si>
    <t>Net income</t>
  </si>
  <si>
    <t>EPS</t>
  </si>
  <si>
    <t>Q121</t>
  </si>
  <si>
    <t>Q221</t>
  </si>
  <si>
    <t>Q321</t>
  </si>
  <si>
    <t>Q421</t>
  </si>
  <si>
    <t>Q122</t>
  </si>
  <si>
    <t>Q222</t>
  </si>
  <si>
    <t>Q322</t>
  </si>
  <si>
    <t>Q422</t>
  </si>
  <si>
    <t>Q123</t>
  </si>
  <si>
    <t>Q223</t>
  </si>
  <si>
    <t>Q323</t>
  </si>
  <si>
    <t>Q423</t>
  </si>
  <si>
    <t>Q124</t>
  </si>
  <si>
    <t>Q224</t>
  </si>
  <si>
    <t>Q324</t>
  </si>
  <si>
    <t>Q424</t>
  </si>
  <si>
    <t>Q120</t>
  </si>
  <si>
    <t>Q220</t>
  </si>
  <si>
    <t>Q320</t>
  </si>
  <si>
    <t>Q420</t>
  </si>
  <si>
    <t>Gross margin</t>
  </si>
  <si>
    <t>Operating margin</t>
  </si>
  <si>
    <t>Net margin</t>
  </si>
  <si>
    <t>Revenue y/y</t>
  </si>
  <si>
    <t>Net cash</t>
  </si>
  <si>
    <t>Inventories</t>
  </si>
  <si>
    <t>PP&amp;E</t>
  </si>
  <si>
    <t>Lease</t>
  </si>
  <si>
    <t>Goodwill</t>
  </si>
  <si>
    <t>Assets</t>
  </si>
  <si>
    <t>A/P</t>
  </si>
  <si>
    <t>Accrued liabilities</t>
  </si>
  <si>
    <t>Accrued compensation</t>
  </si>
  <si>
    <t>Unredeemed gift card</t>
  </si>
  <si>
    <t>Other</t>
  </si>
  <si>
    <t>Liabilities</t>
  </si>
  <si>
    <t>S/E</t>
  </si>
  <si>
    <t>L+S/E</t>
  </si>
  <si>
    <t>A/R</t>
  </si>
  <si>
    <t>D/T</t>
  </si>
  <si>
    <t>SG&amp;A y/y</t>
  </si>
  <si>
    <t>Model NI</t>
  </si>
  <si>
    <t>Reported NI</t>
  </si>
  <si>
    <t>D&amp;A</t>
  </si>
  <si>
    <t>SBC</t>
  </si>
  <si>
    <t>Derrivatives</t>
  </si>
  <si>
    <t>Working capital</t>
  </si>
  <si>
    <t>CFFO</t>
  </si>
  <si>
    <t>CapEx</t>
  </si>
  <si>
    <t>Investments hedges</t>
  </si>
  <si>
    <t>Other investments</t>
  </si>
  <si>
    <t>CFFI</t>
  </si>
  <si>
    <t>Taxes SBC</t>
  </si>
  <si>
    <t>Buybacks</t>
  </si>
  <si>
    <t>CFFF</t>
  </si>
  <si>
    <t>FX</t>
  </si>
  <si>
    <t>CIC</t>
  </si>
  <si>
    <t>Cash end of period</t>
  </si>
  <si>
    <t>CFFO+CapEx-SBC</t>
  </si>
  <si>
    <t>CFFO+CapEx-SBC+Buybacks</t>
  </si>
  <si>
    <t>Proceeds SBC</t>
  </si>
  <si>
    <t>Acquisition</t>
  </si>
  <si>
    <t>Expect to open 35 - 40 new company operated stores in 2024</t>
  </si>
  <si>
    <t>and complete 40 co-located optimizations.</t>
  </si>
  <si>
    <t>primarily in China mainland.</t>
  </si>
  <si>
    <t>5 - 10 stores in Americas with rest in our international markets</t>
  </si>
  <si>
    <t>Unredeemed gift cards</t>
  </si>
  <si>
    <t>Gain on disposal</t>
  </si>
  <si>
    <t>Impairment of goodwill</t>
  </si>
  <si>
    <t>Lululemon studio provision</t>
  </si>
  <si>
    <t>Unredeemed</t>
  </si>
  <si>
    <t>Other assets</t>
  </si>
  <si>
    <t>Other liabilities</t>
  </si>
  <si>
    <t>Accrued inventory</t>
  </si>
  <si>
    <t>Prepaid taxes</t>
  </si>
  <si>
    <t>Prepaid expense</t>
  </si>
  <si>
    <t>Company-operated stores</t>
  </si>
  <si>
    <t>Direct to consumers</t>
  </si>
  <si>
    <t>Stores</t>
  </si>
  <si>
    <t>United States</t>
  </si>
  <si>
    <t>Canada</t>
  </si>
  <si>
    <t>Australia</t>
  </si>
  <si>
    <t>New Zealand</t>
  </si>
  <si>
    <t>United Kindom</t>
  </si>
  <si>
    <t>Singapore</t>
  </si>
  <si>
    <t>Avg. Square feet</t>
  </si>
  <si>
    <t>MIRROR</t>
  </si>
  <si>
    <t>Wholesale</t>
  </si>
  <si>
    <t>Outlets and wharehouse sales</t>
  </si>
  <si>
    <t>Showrooms</t>
  </si>
  <si>
    <t>Temporary locations</t>
  </si>
  <si>
    <t>Segments</t>
  </si>
  <si>
    <t>Distribute facilities</t>
  </si>
  <si>
    <t>Vancouver</t>
  </si>
  <si>
    <t>British Columbia</t>
  </si>
  <si>
    <t>Sumner</t>
  </si>
  <si>
    <t>Washington</t>
  </si>
  <si>
    <t>Columbus</t>
  </si>
  <si>
    <t>Ohio</t>
  </si>
  <si>
    <t>Melbourne</t>
  </si>
  <si>
    <t>Victoria</t>
  </si>
  <si>
    <t>Owned</t>
  </si>
  <si>
    <t>Square feet</t>
  </si>
  <si>
    <t>Third-party logistic providers</t>
  </si>
  <si>
    <t>Hong Kong and the Netherlands</t>
  </si>
  <si>
    <t>Brand image and recognition</t>
  </si>
  <si>
    <t>Product quality</t>
  </si>
  <si>
    <t>Innovation style</t>
  </si>
  <si>
    <t>Distribution and price</t>
  </si>
  <si>
    <t>Key apparel industry</t>
  </si>
  <si>
    <t>Competitors</t>
  </si>
  <si>
    <t>Nike</t>
  </si>
  <si>
    <t>Adidas</t>
  </si>
  <si>
    <t>Women's athletic apparel</t>
  </si>
  <si>
    <t>The Gap (Athleta)</t>
  </si>
  <si>
    <t>Lucy Activewear</t>
  </si>
  <si>
    <t>BEBE stores (BEBE SPORT collection)</t>
  </si>
  <si>
    <t>Under Armor</t>
  </si>
  <si>
    <t>Notes</t>
  </si>
  <si>
    <t>Outlook</t>
  </si>
  <si>
    <t>Around 40% of the fiscal year revenue is generated in the fourth quater.</t>
  </si>
  <si>
    <t>Employees</t>
  </si>
  <si>
    <t>Luon</t>
  </si>
  <si>
    <t>Silverescent</t>
  </si>
  <si>
    <t>Pacebreaker</t>
  </si>
  <si>
    <t>Rulu</t>
  </si>
  <si>
    <t>Scuba</t>
  </si>
  <si>
    <t>Wunder Under</t>
  </si>
  <si>
    <t>VitaSea</t>
  </si>
  <si>
    <t>Boolux</t>
  </si>
  <si>
    <t>Luxtreme</t>
  </si>
  <si>
    <t>Groove Pant</t>
  </si>
  <si>
    <t>Light as Air</t>
  </si>
  <si>
    <t>Booby Bracer</t>
  </si>
  <si>
    <t>Ta Ta Tamer</t>
  </si>
  <si>
    <t>Power Y</t>
  </si>
  <si>
    <t>Trademark Fabrics and products</t>
  </si>
  <si>
    <t>Stock purchased program</t>
  </si>
  <si>
    <t>Employee share purchase plan</t>
  </si>
  <si>
    <t>China</t>
  </si>
  <si>
    <t>South Korea</t>
  </si>
  <si>
    <t>Germany</t>
  </si>
  <si>
    <t>Switzerland</t>
  </si>
  <si>
    <t>Direct to consumer</t>
  </si>
  <si>
    <t>Total</t>
  </si>
  <si>
    <t>Revenue by region</t>
  </si>
  <si>
    <t>Rest of World</t>
  </si>
  <si>
    <t>Japan</t>
  </si>
  <si>
    <t>Ireland</t>
  </si>
  <si>
    <t>Sweden</t>
  </si>
  <si>
    <t>France</t>
  </si>
  <si>
    <t>Avg. Sales per square foot</t>
  </si>
  <si>
    <t>Malaysia</t>
  </si>
  <si>
    <t>Netherlands</t>
  </si>
  <si>
    <t>Norway</t>
  </si>
  <si>
    <t>Women's product</t>
  </si>
  <si>
    <t>Men's product</t>
  </si>
  <si>
    <t>Other categories</t>
  </si>
  <si>
    <t>Revenue by categories</t>
  </si>
  <si>
    <t>COVID</t>
  </si>
  <si>
    <t>China mainland</t>
  </si>
  <si>
    <t>Taiwan</t>
  </si>
  <si>
    <t>Macau SAR</t>
  </si>
  <si>
    <t>Hong Kong SAR</t>
  </si>
  <si>
    <t>Thailand</t>
  </si>
  <si>
    <t>Spain</t>
  </si>
  <si>
    <t>Total operating stores</t>
  </si>
  <si>
    <t>Third parties locations</t>
  </si>
  <si>
    <t>Mexico</t>
  </si>
  <si>
    <t>United Arab Emirates</t>
  </si>
  <si>
    <t>Saudi Arabia</t>
  </si>
  <si>
    <t>Isreal</t>
  </si>
  <si>
    <t>Kuwait</t>
  </si>
  <si>
    <t>Qatar</t>
  </si>
  <si>
    <t>Bahrain</t>
  </si>
  <si>
    <t>EMEA new operating stores</t>
  </si>
  <si>
    <t>Hong Kong, Taiwan and Macau</t>
  </si>
  <si>
    <t>Women's product y/y</t>
  </si>
  <si>
    <t>Men's product y/y</t>
  </si>
  <si>
    <t>Other categories y/y</t>
  </si>
  <si>
    <t>Company-operated stores margin</t>
  </si>
  <si>
    <t>Direct to consumer margin</t>
  </si>
  <si>
    <t>Other margin</t>
  </si>
  <si>
    <t>Net revenue by channel</t>
  </si>
  <si>
    <t>Rest of the world</t>
  </si>
  <si>
    <t>Avg. revenue per store by region</t>
  </si>
  <si>
    <t>Total new locations</t>
  </si>
  <si>
    <t>Total EMEA</t>
  </si>
  <si>
    <t>Total APAC</t>
  </si>
  <si>
    <t>Total Republic of China</t>
  </si>
  <si>
    <t>Total Americas</t>
  </si>
  <si>
    <t>Total new stores</t>
  </si>
  <si>
    <t>APAC new stores</t>
  </si>
  <si>
    <t>Republic of China new stores</t>
  </si>
  <si>
    <t>Americas new stores</t>
  </si>
  <si>
    <t>CEO</t>
  </si>
  <si>
    <t>Calvin McDonald</t>
  </si>
  <si>
    <t>Headquaters</t>
  </si>
  <si>
    <t>Vancouver, British Columbia</t>
  </si>
  <si>
    <t>Power of Three ×2 strategy 2021 revenue $6.25 billion to $12.5billion by 2026</t>
  </si>
  <si>
    <t>net revenue relative to 2021</t>
  </si>
  <si>
    <t>Plan to double men's, double e-commerce, and quadruple international</t>
  </si>
  <si>
    <t>Total stores closed</t>
  </si>
  <si>
    <t>100% sustainable products by 2030</t>
  </si>
  <si>
    <t>ROIC</t>
  </si>
  <si>
    <t>Discount rate</t>
  </si>
  <si>
    <t>NPV</t>
  </si>
  <si>
    <t>Terminal value</t>
  </si>
  <si>
    <t>Total value</t>
  </si>
  <si>
    <t>Per share</t>
  </si>
  <si>
    <t>Current price</t>
  </si>
  <si>
    <t>Change</t>
  </si>
  <si>
    <t>FCF</t>
  </si>
  <si>
    <t>TTM</t>
  </si>
  <si>
    <t>Prepaid</t>
  </si>
  <si>
    <t>Cash flow TTM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</si>
</sst>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\x"/>
  </numFmts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28"/>
      <color theme="1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3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4" fontId="0" fillId="0" borderId="0" xfId="0" applyNumberFormat="1"/>
    <xf numFmtId="9" fontId="0" fillId="0" borderId="0" xfId="0" applyNumberFormat="1"/>
    <xf numFmtId="4" fontId="0" fillId="0" borderId="0" xfId="0" applyNumberFormat="1"/>
    <xf numFmtId="0" fontId="1" fillId="0" borderId="0" xfId="0" applyFont="1"/>
    <xf numFmtId="3" fontId="1" fillId="0" borderId="0" xfId="0" applyNumberFormat="1" applyFont="1"/>
    <xf numFmtId="9" fontId="1" fillId="0" borderId="0" xfId="0" applyNumberFormat="1" applyFont="1"/>
    <xf numFmtId="9" fontId="0" fillId="0" borderId="0" xfId="0" applyNumberFormat="1" applyAlignment="1">
      <alignment horizontal="left" indent="1"/>
    </xf>
    <xf numFmtId="9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2" fontId="0" fillId="0" borderId="0" xfId="0" applyNumberFormat="1"/>
    <xf numFmtId="2" fontId="0" fillId="0" borderId="0" xfId="0" applyNumberFormat="1" applyAlignment="1">
      <alignment horizontal="right"/>
    </xf>
    <xf numFmtId="0" fontId="1" fillId="0" borderId="0" xfId="0" applyFont="1" applyAlignment="1">
      <alignment horizontal="right"/>
    </xf>
    <xf numFmtId="3" fontId="1" fillId="0" borderId="0" xfId="0" applyNumberFormat="1" applyFont="1" applyAlignment="1">
      <alignment horizontal="right"/>
    </xf>
    <xf numFmtId="1" fontId="0" fillId="0" borderId="0" xfId="0" applyNumberFormat="1"/>
    <xf numFmtId="1" fontId="1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  <xf numFmtId="0" fontId="0" fillId="0" borderId="1" xfId="0" applyBorder="1"/>
    <xf numFmtId="3" fontId="0" fillId="0" borderId="2" xfId="0" applyNumberFormat="1" applyBorder="1"/>
    <xf numFmtId="0" fontId="0" fillId="0" borderId="3" xfId="0" applyBorder="1"/>
    <xf numFmtId="3" fontId="0" fillId="0" borderId="4" xfId="0" applyNumberFormat="1" applyBorder="1"/>
    <xf numFmtId="0" fontId="0" fillId="0" borderId="5" xfId="0" applyBorder="1"/>
    <xf numFmtId="164" fontId="0" fillId="0" borderId="6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19050</xdr:colOff>
      <xdr:row>0</xdr:row>
      <xdr:rowOff>85725</xdr:rowOff>
    </xdr:from>
    <xdr:to>
      <xdr:col>18</xdr:col>
      <xdr:colOff>19050</xdr:colOff>
      <xdr:row>185</xdr:row>
      <xdr:rowOff>114300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148E7667-5333-0AC0-1F02-02FF542AA187}"/>
            </a:ext>
          </a:extLst>
        </xdr:cNvPr>
        <xdr:cNvCxnSpPr/>
      </xdr:nvCxnSpPr>
      <xdr:spPr>
        <a:xfrm>
          <a:off x="13830300" y="85725"/>
          <a:ext cx="0" cy="30099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19050</xdr:colOff>
      <xdr:row>0</xdr:row>
      <xdr:rowOff>38100</xdr:rowOff>
    </xdr:from>
    <xdr:to>
      <xdr:col>33</xdr:col>
      <xdr:colOff>19050</xdr:colOff>
      <xdr:row>186</xdr:row>
      <xdr:rowOff>28575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DA903957-BC63-48C2-885D-0B8710A062EE}"/>
            </a:ext>
          </a:extLst>
        </xdr:cNvPr>
        <xdr:cNvCxnSpPr/>
      </xdr:nvCxnSpPr>
      <xdr:spPr>
        <a:xfrm>
          <a:off x="23831550" y="38100"/>
          <a:ext cx="0" cy="1143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D992D-EB58-4730-BD26-4ECDBF9CABFE}">
  <dimension ref="A1:Q45"/>
  <sheetViews>
    <sheetView workbookViewId="0">
      <selection activeCell="U20" sqref="U20"/>
    </sheetView>
  </sheetViews>
  <sheetFormatPr defaultRowHeight="12.75" x14ac:dyDescent="0.2"/>
  <cols>
    <col min="1" max="1" width="11.85546875" customWidth="1"/>
    <col min="3" max="3" width="10.42578125" customWidth="1"/>
    <col min="7" max="7" width="10.140625" customWidth="1"/>
    <col min="12" max="12" width="10.140625" bestFit="1" customWidth="1"/>
    <col min="14" max="14" width="9.140625" customWidth="1"/>
    <col min="15" max="15" width="10.140625" bestFit="1" customWidth="1"/>
  </cols>
  <sheetData>
    <row r="1" spans="1:16" ht="34.5" x14ac:dyDescent="0.45">
      <c r="A1" s="1" t="s">
        <v>0</v>
      </c>
    </row>
    <row r="2" spans="1:16" x14ac:dyDescent="0.2">
      <c r="A2" t="s">
        <v>1</v>
      </c>
    </row>
    <row r="3" spans="1:16" x14ac:dyDescent="0.2">
      <c r="A3" t="s">
        <v>2</v>
      </c>
    </row>
    <row r="4" spans="1:16" x14ac:dyDescent="0.2">
      <c r="C4" s="8" t="s">
        <v>128</v>
      </c>
      <c r="G4" s="8" t="s">
        <v>138</v>
      </c>
      <c r="O4" s="24" t="s">
        <v>3</v>
      </c>
      <c r="P4" s="25">
        <v>290</v>
      </c>
    </row>
    <row r="5" spans="1:16" x14ac:dyDescent="0.2">
      <c r="C5" t="s">
        <v>124</v>
      </c>
      <c r="G5" t="s">
        <v>218</v>
      </c>
      <c r="O5" s="26" t="s">
        <v>4</v>
      </c>
      <c r="P5" s="27">
        <f>+Model!R98</f>
        <v>126.336</v>
      </c>
    </row>
    <row r="6" spans="1:16" x14ac:dyDescent="0.2">
      <c r="C6" t="s">
        <v>125</v>
      </c>
      <c r="G6" t="s">
        <v>220</v>
      </c>
      <c r="O6" s="26" t="s">
        <v>5</v>
      </c>
      <c r="P6" s="27">
        <f>+P4*P5</f>
        <v>36637.440000000002</v>
      </c>
    </row>
    <row r="7" spans="1:16" x14ac:dyDescent="0.2">
      <c r="C7" t="s">
        <v>126</v>
      </c>
      <c r="G7" t="s">
        <v>219</v>
      </c>
      <c r="O7" s="26" t="s">
        <v>6</v>
      </c>
      <c r="P7" s="27">
        <f>+Model!R109</f>
        <v>1900.672</v>
      </c>
    </row>
    <row r="8" spans="1:16" x14ac:dyDescent="0.2">
      <c r="C8" t="s">
        <v>127</v>
      </c>
      <c r="O8" s="26" t="s">
        <v>7</v>
      </c>
      <c r="P8" s="27">
        <v>0</v>
      </c>
    </row>
    <row r="9" spans="1:16" x14ac:dyDescent="0.2">
      <c r="O9" s="26" t="s">
        <v>8</v>
      </c>
      <c r="P9" s="27">
        <f>+P6-P7+P8</f>
        <v>34736.768000000004</v>
      </c>
    </row>
    <row r="10" spans="1:16" x14ac:dyDescent="0.2">
      <c r="C10" s="8" t="s">
        <v>129</v>
      </c>
      <c r="O10" s="28"/>
      <c r="P10" s="29">
        <f>+P9/(1659*1.1)</f>
        <v>19.034888487040387</v>
      </c>
    </row>
    <row r="11" spans="1:16" x14ac:dyDescent="0.2">
      <c r="C11" t="s">
        <v>130</v>
      </c>
      <c r="G11" t="s">
        <v>81</v>
      </c>
      <c r="P11" s="3"/>
    </row>
    <row r="12" spans="1:16" x14ac:dyDescent="0.2">
      <c r="C12" t="s">
        <v>131</v>
      </c>
      <c r="G12" t="s">
        <v>82</v>
      </c>
    </row>
    <row r="13" spans="1:16" x14ac:dyDescent="0.2">
      <c r="C13" t="s">
        <v>136</v>
      </c>
      <c r="G13" t="s">
        <v>84</v>
      </c>
      <c r="O13" s="8" t="s">
        <v>214</v>
      </c>
    </row>
    <row r="14" spans="1:16" x14ac:dyDescent="0.2">
      <c r="C14" t="s">
        <v>132</v>
      </c>
      <c r="G14" t="s">
        <v>83</v>
      </c>
      <c r="O14" t="s">
        <v>215</v>
      </c>
    </row>
    <row r="15" spans="1:16" x14ac:dyDescent="0.2">
      <c r="C15" s="14" t="s">
        <v>133</v>
      </c>
    </row>
    <row r="16" spans="1:16" x14ac:dyDescent="0.2">
      <c r="C16" s="14" t="s">
        <v>134</v>
      </c>
      <c r="G16" t="s">
        <v>222</v>
      </c>
      <c r="O16" s="8" t="s">
        <v>216</v>
      </c>
    </row>
    <row r="17" spans="3:17" x14ac:dyDescent="0.2">
      <c r="C17" s="14" t="s">
        <v>135</v>
      </c>
      <c r="O17" t="s">
        <v>217</v>
      </c>
    </row>
    <row r="19" spans="3:17" x14ac:dyDescent="0.2">
      <c r="C19" s="8" t="s">
        <v>110</v>
      </c>
      <c r="G19" s="8" t="s">
        <v>137</v>
      </c>
      <c r="O19" s="8" t="s">
        <v>140</v>
      </c>
    </row>
    <row r="20" spans="3:17" x14ac:dyDescent="0.2">
      <c r="C20" t="s">
        <v>95</v>
      </c>
      <c r="G20" t="s">
        <v>139</v>
      </c>
      <c r="O20" s="21">
        <v>2015</v>
      </c>
      <c r="P20" s="2">
        <v>8628</v>
      </c>
    </row>
    <row r="21" spans="3:17" x14ac:dyDescent="0.2">
      <c r="C21" t="s">
        <v>96</v>
      </c>
      <c r="O21">
        <v>2016</v>
      </c>
      <c r="P21" s="2"/>
    </row>
    <row r="22" spans="3:17" x14ac:dyDescent="0.2">
      <c r="C22" t="s">
        <v>53</v>
      </c>
      <c r="O22">
        <v>2017</v>
      </c>
      <c r="P22" s="2"/>
    </row>
    <row r="23" spans="3:17" x14ac:dyDescent="0.2">
      <c r="C23" s="14" t="s">
        <v>105</v>
      </c>
      <c r="O23">
        <v>2018</v>
      </c>
      <c r="P23" s="2"/>
    </row>
    <row r="24" spans="3:17" x14ac:dyDescent="0.2">
      <c r="C24" s="14" t="s">
        <v>106</v>
      </c>
      <c r="O24">
        <v>2019</v>
      </c>
      <c r="P24" s="2"/>
    </row>
    <row r="25" spans="3:17" x14ac:dyDescent="0.2">
      <c r="C25" s="14" t="s">
        <v>107</v>
      </c>
      <c r="O25">
        <v>2020</v>
      </c>
      <c r="P25" s="2"/>
    </row>
    <row r="26" spans="3:17" x14ac:dyDescent="0.2">
      <c r="C26" s="14" t="s">
        <v>108</v>
      </c>
      <c r="O26">
        <v>2021</v>
      </c>
      <c r="P26" s="2">
        <v>29000</v>
      </c>
    </row>
    <row r="27" spans="3:17" x14ac:dyDescent="0.2">
      <c r="C27" s="14" t="s">
        <v>109</v>
      </c>
      <c r="O27">
        <v>2022</v>
      </c>
      <c r="P27" s="2"/>
    </row>
    <row r="28" spans="3:17" x14ac:dyDescent="0.2">
      <c r="O28">
        <v>2023</v>
      </c>
      <c r="P28" s="2"/>
    </row>
    <row r="29" spans="3:17" x14ac:dyDescent="0.2">
      <c r="C29" s="8" t="s">
        <v>155</v>
      </c>
    </row>
    <row r="30" spans="3:17" x14ac:dyDescent="0.2">
      <c r="C30" t="s">
        <v>141</v>
      </c>
      <c r="O30" s="16" t="s">
        <v>111</v>
      </c>
      <c r="Q30" t="s">
        <v>121</v>
      </c>
    </row>
    <row r="31" spans="3:17" x14ac:dyDescent="0.2">
      <c r="C31" t="s">
        <v>142</v>
      </c>
      <c r="O31" s="15" t="s">
        <v>112</v>
      </c>
      <c r="P31" t="s">
        <v>46</v>
      </c>
      <c r="Q31" s="2">
        <v>120000</v>
      </c>
    </row>
    <row r="32" spans="3:17" x14ac:dyDescent="0.2">
      <c r="C32" t="s">
        <v>143</v>
      </c>
      <c r="O32" s="15" t="s">
        <v>113</v>
      </c>
      <c r="P32" t="s">
        <v>120</v>
      </c>
      <c r="Q32" s="2"/>
    </row>
    <row r="33" spans="3:17" x14ac:dyDescent="0.2">
      <c r="C33" t="s">
        <v>144</v>
      </c>
      <c r="O33" s="15" t="s">
        <v>114</v>
      </c>
      <c r="P33" t="s">
        <v>46</v>
      </c>
      <c r="Q33" s="2">
        <v>167000</v>
      </c>
    </row>
    <row r="34" spans="3:17" x14ac:dyDescent="0.2">
      <c r="C34" t="s">
        <v>145</v>
      </c>
      <c r="O34" s="15" t="s">
        <v>115</v>
      </c>
      <c r="P34" t="s">
        <v>120</v>
      </c>
      <c r="Q34" s="2"/>
    </row>
    <row r="35" spans="3:17" x14ac:dyDescent="0.2">
      <c r="C35" t="s">
        <v>146</v>
      </c>
      <c r="O35" s="15" t="s">
        <v>116</v>
      </c>
      <c r="P35" t="s">
        <v>120</v>
      </c>
      <c r="Q35" s="2">
        <v>310000</v>
      </c>
    </row>
    <row r="36" spans="3:17" x14ac:dyDescent="0.2">
      <c r="C36" t="s">
        <v>147</v>
      </c>
      <c r="O36" s="15" t="s">
        <v>117</v>
      </c>
      <c r="P36" t="s">
        <v>120</v>
      </c>
      <c r="Q36" s="2"/>
    </row>
    <row r="37" spans="3:17" x14ac:dyDescent="0.2">
      <c r="C37" t="s">
        <v>148</v>
      </c>
      <c r="O37" s="15" t="s">
        <v>118</v>
      </c>
      <c r="P37" t="s">
        <v>46</v>
      </c>
      <c r="Q37" s="2">
        <v>54000</v>
      </c>
    </row>
    <row r="38" spans="3:17" x14ac:dyDescent="0.2">
      <c r="C38" t="s">
        <v>149</v>
      </c>
      <c r="O38" s="15" t="s">
        <v>119</v>
      </c>
      <c r="P38" t="s">
        <v>120</v>
      </c>
      <c r="Q38" s="2"/>
    </row>
    <row r="39" spans="3:17" x14ac:dyDescent="0.2">
      <c r="C39" t="s">
        <v>150</v>
      </c>
      <c r="O39" s="15" t="s">
        <v>122</v>
      </c>
    </row>
    <row r="40" spans="3:17" x14ac:dyDescent="0.2">
      <c r="C40" t="s">
        <v>151</v>
      </c>
      <c r="O40" s="15" t="s">
        <v>123</v>
      </c>
    </row>
    <row r="41" spans="3:17" x14ac:dyDescent="0.2">
      <c r="C41" t="s">
        <v>152</v>
      </c>
    </row>
    <row r="42" spans="3:17" x14ac:dyDescent="0.2">
      <c r="C42" t="s">
        <v>153</v>
      </c>
    </row>
    <row r="43" spans="3:17" x14ac:dyDescent="0.2">
      <c r="C43" t="s">
        <v>154</v>
      </c>
    </row>
    <row r="45" spans="3:17" x14ac:dyDescent="0.2">
      <c r="C45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EF549-208C-4D66-9F7C-1CFA63280FB5}">
  <dimension ref="A1:EO184"/>
  <sheetViews>
    <sheetView tabSelected="1" workbookViewId="0">
      <pane xSplit="1" ySplit="3" topLeftCell="AD85" activePane="bottomRight" state="frozen"/>
      <selection pane="topRight" activeCell="B1" sqref="B1"/>
      <selection pane="bottomLeft" activeCell="A4" sqref="A4"/>
      <selection pane="bottomRight" activeCell="AL116" sqref="AL116"/>
    </sheetView>
  </sheetViews>
  <sheetFormatPr defaultRowHeight="12.75" x14ac:dyDescent="0.2"/>
  <cols>
    <col min="1" max="1" width="34.42578125" customWidth="1"/>
    <col min="2" max="2" width="10.140625" style="2" bestFit="1" customWidth="1"/>
    <col min="3" max="3" width="10.5703125" style="2" customWidth="1"/>
    <col min="4" max="4" width="10.140625" style="2" customWidth="1"/>
    <col min="5" max="5" width="10" style="2" customWidth="1"/>
    <col min="6" max="18" width="10.140625" style="2" bestFit="1" customWidth="1"/>
    <col min="19" max="23" width="9.140625" style="2"/>
    <col min="24" max="24" width="10.140625" style="2" bestFit="1" customWidth="1"/>
    <col min="25" max="25" width="9.28515625" style="2" customWidth="1"/>
    <col min="26" max="26" width="9.28515625" style="2" bestFit="1" customWidth="1"/>
    <col min="27" max="34" width="9.140625" style="2"/>
    <col min="35" max="35" width="9.42578125" style="2" customWidth="1"/>
    <col min="36" max="44" width="9.140625" style="2"/>
    <col min="45" max="49" width="8.5703125" style="2" customWidth="1"/>
    <col min="50" max="51" width="9.140625" style="2"/>
    <col min="52" max="52" width="12.7109375" style="2" bestFit="1" customWidth="1"/>
    <col min="53" max="16384" width="9.140625" style="2"/>
  </cols>
  <sheetData>
    <row r="1" spans="1:49" customFormat="1" ht="34.5" x14ac:dyDescent="0.45">
      <c r="A1" s="1" t="s">
        <v>0</v>
      </c>
      <c r="B1" s="1"/>
      <c r="C1" s="1"/>
      <c r="D1" s="1"/>
      <c r="E1" s="1"/>
    </row>
    <row r="2" spans="1:49" customFormat="1" x14ac:dyDescent="0.2">
      <c r="A2" t="s">
        <v>1</v>
      </c>
      <c r="B2" s="5">
        <v>43954</v>
      </c>
      <c r="C2" s="5">
        <v>44045</v>
      </c>
      <c r="D2" s="5">
        <v>44136</v>
      </c>
      <c r="E2" s="5">
        <v>44227</v>
      </c>
      <c r="F2" s="5">
        <v>44318</v>
      </c>
      <c r="G2" s="5">
        <v>44409</v>
      </c>
      <c r="H2" s="5">
        <v>44500</v>
      </c>
      <c r="I2" s="5">
        <v>44592</v>
      </c>
      <c r="J2" s="5">
        <v>44682</v>
      </c>
      <c r="K2" s="5">
        <v>44773</v>
      </c>
      <c r="L2" s="5">
        <v>44864</v>
      </c>
      <c r="M2" s="5">
        <v>44955</v>
      </c>
      <c r="N2" s="5">
        <v>45046</v>
      </c>
      <c r="O2" s="5">
        <v>45137</v>
      </c>
      <c r="P2" s="5">
        <v>45228</v>
      </c>
      <c r="Q2" s="5">
        <v>45319</v>
      </c>
      <c r="R2" s="5">
        <v>45410</v>
      </c>
    </row>
    <row r="3" spans="1:49" customFormat="1" x14ac:dyDescent="0.2">
      <c r="A3" t="s">
        <v>2</v>
      </c>
      <c r="B3" s="4" t="s">
        <v>35</v>
      </c>
      <c r="C3" s="4" t="s">
        <v>36</v>
      </c>
      <c r="D3" s="4" t="s">
        <v>37</v>
      </c>
      <c r="E3" s="4" t="s">
        <v>38</v>
      </c>
      <c r="F3" s="4" t="s">
        <v>19</v>
      </c>
      <c r="G3" s="4" t="s">
        <v>20</v>
      </c>
      <c r="H3" s="4" t="s">
        <v>21</v>
      </c>
      <c r="I3" s="4" t="s">
        <v>22</v>
      </c>
      <c r="J3" s="4" t="s">
        <v>23</v>
      </c>
      <c r="K3" s="4" t="s">
        <v>24</v>
      </c>
      <c r="L3" s="4" t="s">
        <v>25</v>
      </c>
      <c r="M3" s="4" t="s">
        <v>26</v>
      </c>
      <c r="N3" s="4" t="s">
        <v>27</v>
      </c>
      <c r="O3" s="4" t="s">
        <v>28</v>
      </c>
      <c r="P3" s="4" t="s">
        <v>29</v>
      </c>
      <c r="Q3" s="4" t="s">
        <v>30</v>
      </c>
      <c r="R3" s="4" t="s">
        <v>31</v>
      </c>
      <c r="S3" s="4" t="s">
        <v>32</v>
      </c>
      <c r="T3" s="4" t="s">
        <v>33</v>
      </c>
      <c r="U3" s="4" t="s">
        <v>34</v>
      </c>
      <c r="V3" s="4"/>
      <c r="W3" s="4">
        <v>2013</v>
      </c>
      <c r="X3" s="4">
        <v>2014</v>
      </c>
      <c r="Y3" s="4">
        <v>2015</v>
      </c>
      <c r="Z3" s="4">
        <v>2016</v>
      </c>
      <c r="AA3" s="4">
        <v>2017</v>
      </c>
      <c r="AB3" s="4">
        <v>2018</v>
      </c>
      <c r="AC3" s="4">
        <f>+AB3+1</f>
        <v>2019</v>
      </c>
      <c r="AD3" s="4">
        <f t="shared" ref="AD3:AR3" si="0">+AC3+1</f>
        <v>2020</v>
      </c>
      <c r="AE3" s="4">
        <f t="shared" si="0"/>
        <v>2021</v>
      </c>
      <c r="AF3" s="4">
        <f t="shared" si="0"/>
        <v>2022</v>
      </c>
      <c r="AG3" s="4">
        <f t="shared" si="0"/>
        <v>2023</v>
      </c>
      <c r="AH3" s="4">
        <f t="shared" si="0"/>
        <v>2024</v>
      </c>
      <c r="AI3" s="4">
        <f t="shared" si="0"/>
        <v>2025</v>
      </c>
      <c r="AJ3" s="4">
        <f t="shared" si="0"/>
        <v>2026</v>
      </c>
      <c r="AK3" s="4">
        <f t="shared" si="0"/>
        <v>2027</v>
      </c>
      <c r="AL3" s="4">
        <f t="shared" si="0"/>
        <v>2028</v>
      </c>
      <c r="AM3" s="4">
        <f t="shared" si="0"/>
        <v>2029</v>
      </c>
      <c r="AN3" s="4">
        <f t="shared" si="0"/>
        <v>2030</v>
      </c>
      <c r="AO3" s="4">
        <f t="shared" si="0"/>
        <v>2031</v>
      </c>
      <c r="AP3" s="4">
        <f t="shared" si="0"/>
        <v>2032</v>
      </c>
      <c r="AQ3" s="4">
        <f t="shared" si="0"/>
        <v>2033</v>
      </c>
      <c r="AR3" s="4">
        <f t="shared" si="0"/>
        <v>2034</v>
      </c>
      <c r="AS3" s="4">
        <f t="shared" ref="AS3" si="1">+AR3+1</f>
        <v>2035</v>
      </c>
      <c r="AT3" s="4">
        <f t="shared" ref="AT3" si="2">+AS3+1</f>
        <v>2036</v>
      </c>
      <c r="AU3" s="4">
        <f t="shared" ref="AU3" si="3">+AT3+1</f>
        <v>2037</v>
      </c>
      <c r="AV3" s="4">
        <f t="shared" ref="AV3" si="4">+AU3+1</f>
        <v>2038</v>
      </c>
      <c r="AW3" s="4">
        <f t="shared" ref="AW3" si="5">+AV3+1</f>
        <v>2039</v>
      </c>
    </row>
    <row r="4" spans="1:49" customFormat="1" x14ac:dyDescent="0.2">
      <c r="A4" s="8" t="s">
        <v>97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</row>
    <row r="5" spans="1:49" customFormat="1" x14ac:dyDescent="0.2">
      <c r="A5" t="s">
        <v>98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2">
        <f>168+3</f>
        <v>171</v>
      </c>
      <c r="X5" s="4">
        <f>200+11</f>
        <v>211</v>
      </c>
      <c r="Y5" s="4">
        <f>229+31</f>
        <v>260</v>
      </c>
      <c r="Z5" s="4">
        <f>245+42+1</f>
        <v>288</v>
      </c>
      <c r="AA5" s="2">
        <f>270+4</f>
        <v>274</v>
      </c>
      <c r="AB5" s="4">
        <v>285</v>
      </c>
      <c r="AC5" s="4">
        <v>305</v>
      </c>
      <c r="AD5" s="4">
        <v>315</v>
      </c>
      <c r="AE5" s="4">
        <v>315</v>
      </c>
      <c r="AF5" s="4">
        <v>350</v>
      </c>
      <c r="AG5" s="4">
        <v>367</v>
      </c>
      <c r="AH5" s="13"/>
      <c r="AI5" s="18"/>
      <c r="AJ5" s="4"/>
      <c r="AK5" s="4"/>
      <c r="AL5" s="4"/>
      <c r="AM5" s="4"/>
      <c r="AN5" s="4"/>
      <c r="AO5" s="4"/>
      <c r="AP5" s="4"/>
      <c r="AQ5" s="4"/>
      <c r="AR5" s="4"/>
    </row>
    <row r="6" spans="1:49" customFormat="1" x14ac:dyDescent="0.2">
      <c r="A6" t="s">
        <v>99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2">
        <f>45+9</f>
        <v>54</v>
      </c>
      <c r="X6" s="4">
        <f>46+11</f>
        <v>57</v>
      </c>
      <c r="Y6" s="4">
        <f>48+12</f>
        <v>60</v>
      </c>
      <c r="Z6" s="4">
        <f>51+13</f>
        <v>64</v>
      </c>
      <c r="AA6" s="2">
        <f>57+3</f>
        <v>60</v>
      </c>
      <c r="AB6" s="4">
        <v>64</v>
      </c>
      <c r="AC6" s="4">
        <v>63</v>
      </c>
      <c r="AD6" s="4">
        <v>62</v>
      </c>
      <c r="AE6" s="2">
        <v>62</v>
      </c>
      <c r="AF6" s="4">
        <v>69</v>
      </c>
      <c r="AG6" s="4">
        <v>71</v>
      </c>
      <c r="AH6" s="2"/>
      <c r="AI6" s="4"/>
      <c r="AJ6" s="4"/>
      <c r="AK6" s="4"/>
      <c r="AL6" s="4"/>
      <c r="AM6" s="4"/>
      <c r="AN6" s="4"/>
      <c r="AO6" s="4"/>
      <c r="AP6" s="4"/>
      <c r="AQ6" s="4"/>
      <c r="AR6" s="4"/>
    </row>
    <row r="7" spans="1:49" s="8" customFormat="1" x14ac:dyDescent="0.2">
      <c r="A7" s="8" t="s">
        <v>209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>
        <f t="shared" ref="W7:AF7" si="6">+SUM(W5:W6)</f>
        <v>225</v>
      </c>
      <c r="X7" s="19">
        <f t="shared" si="6"/>
        <v>268</v>
      </c>
      <c r="Y7" s="19">
        <f t="shared" si="6"/>
        <v>320</v>
      </c>
      <c r="Z7" s="19">
        <f t="shared" si="6"/>
        <v>352</v>
      </c>
      <c r="AA7" s="19">
        <f t="shared" si="6"/>
        <v>334</v>
      </c>
      <c r="AB7" s="19">
        <f t="shared" si="6"/>
        <v>349</v>
      </c>
      <c r="AC7" s="19">
        <f t="shared" si="6"/>
        <v>368</v>
      </c>
      <c r="AD7" s="19">
        <f t="shared" si="6"/>
        <v>377</v>
      </c>
      <c r="AE7" s="19">
        <f t="shared" si="6"/>
        <v>377</v>
      </c>
      <c r="AF7" s="19">
        <f t="shared" si="6"/>
        <v>419</v>
      </c>
      <c r="AG7" s="19">
        <f>+SUM(AG5:AG6)</f>
        <v>438</v>
      </c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</row>
    <row r="8" spans="1:49" customFormat="1" x14ac:dyDescent="0.2">
      <c r="A8" t="s">
        <v>213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>
        <f>+X7-W7</f>
        <v>43</v>
      </c>
      <c r="Y8" s="4">
        <f t="shared" ref="Y8:AG8" si="7">+Y7-X7</f>
        <v>52</v>
      </c>
      <c r="Z8" s="4">
        <f t="shared" si="7"/>
        <v>32</v>
      </c>
      <c r="AA8" s="4">
        <f t="shared" si="7"/>
        <v>-18</v>
      </c>
      <c r="AB8" s="4">
        <f t="shared" si="7"/>
        <v>15</v>
      </c>
      <c r="AC8" s="4">
        <f t="shared" si="7"/>
        <v>19</v>
      </c>
      <c r="AD8" s="4">
        <f t="shared" si="7"/>
        <v>9</v>
      </c>
      <c r="AE8" s="4">
        <f t="shared" si="7"/>
        <v>0</v>
      </c>
      <c r="AF8" s="4">
        <f t="shared" si="7"/>
        <v>42</v>
      </c>
      <c r="AG8" s="4">
        <f t="shared" si="7"/>
        <v>19</v>
      </c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</row>
    <row r="9" spans="1:49" customFormat="1" x14ac:dyDescent="0.2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</row>
    <row r="10" spans="1:49" customFormat="1" x14ac:dyDescent="0.2">
      <c r="A10" t="s">
        <v>158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2"/>
      <c r="X10" s="4"/>
      <c r="Y10" s="4"/>
      <c r="Z10" s="4">
        <f>3+3</f>
        <v>6</v>
      </c>
      <c r="AA10" s="2">
        <v>15</v>
      </c>
      <c r="AB10" s="4">
        <v>22</v>
      </c>
      <c r="AC10" s="4">
        <v>38</v>
      </c>
      <c r="AD10" s="4">
        <v>55</v>
      </c>
      <c r="AE10" s="4">
        <v>55</v>
      </c>
      <c r="AF10" s="4">
        <v>99</v>
      </c>
      <c r="AG10" s="2">
        <v>127</v>
      </c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</row>
    <row r="11" spans="1:49" x14ac:dyDescent="0.2">
      <c r="A11" t="s">
        <v>182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9</v>
      </c>
      <c r="AG11" s="2">
        <v>9</v>
      </c>
    </row>
    <row r="12" spans="1:49" x14ac:dyDescent="0.2">
      <c r="A12" t="s">
        <v>180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7</v>
      </c>
      <c r="AG12" s="2">
        <v>8</v>
      </c>
    </row>
    <row r="13" spans="1:49" x14ac:dyDescent="0.2">
      <c r="A13" t="s">
        <v>181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2</v>
      </c>
      <c r="AG13" s="2">
        <v>2</v>
      </c>
    </row>
    <row r="14" spans="1:49" s="9" customFormat="1" x14ac:dyDescent="0.2">
      <c r="A14" s="8" t="s">
        <v>208</v>
      </c>
      <c r="Z14" s="9">
        <f t="shared" ref="Z14:AF14" si="8">+SUM(Z10:Z13)</f>
        <v>6</v>
      </c>
      <c r="AA14" s="9">
        <f t="shared" si="8"/>
        <v>15</v>
      </c>
      <c r="AB14" s="9">
        <f t="shared" si="8"/>
        <v>22</v>
      </c>
      <c r="AC14" s="9">
        <f t="shared" si="8"/>
        <v>38</v>
      </c>
      <c r="AD14" s="9">
        <f t="shared" si="8"/>
        <v>55</v>
      </c>
      <c r="AE14" s="9">
        <f t="shared" si="8"/>
        <v>55</v>
      </c>
      <c r="AF14" s="9">
        <f t="shared" si="8"/>
        <v>117</v>
      </c>
      <c r="AG14" s="9">
        <f>+SUM(AG10:AG13)</f>
        <v>146</v>
      </c>
    </row>
    <row r="15" spans="1:49" customFormat="1" x14ac:dyDescent="0.2">
      <c r="A15" t="s">
        <v>212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2"/>
      <c r="X15" s="4"/>
      <c r="Y15" s="4"/>
      <c r="Z15" s="4"/>
      <c r="AA15" s="2">
        <f>+AA10-Z10</f>
        <v>9</v>
      </c>
      <c r="AB15" s="2">
        <f t="shared" ref="AB15:AG15" si="9">+AB10-AA10</f>
        <v>7</v>
      </c>
      <c r="AC15" s="2">
        <f t="shared" si="9"/>
        <v>16</v>
      </c>
      <c r="AD15" s="2">
        <f t="shared" si="9"/>
        <v>17</v>
      </c>
      <c r="AE15" s="2">
        <f t="shared" si="9"/>
        <v>0</v>
      </c>
      <c r="AF15" s="2">
        <f t="shared" si="9"/>
        <v>44</v>
      </c>
      <c r="AG15" s="2">
        <f t="shared" si="9"/>
        <v>28</v>
      </c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</row>
    <row r="16" spans="1:49" customFormat="1" x14ac:dyDescent="0.2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2"/>
      <c r="X16" s="4"/>
      <c r="Y16" s="4"/>
      <c r="Z16" s="4"/>
      <c r="AA16" s="2"/>
      <c r="AB16" s="4"/>
      <c r="AC16" s="4"/>
      <c r="AD16" s="4"/>
      <c r="AE16" s="4"/>
      <c r="AF16" s="4"/>
      <c r="AG16" s="2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</row>
    <row r="17" spans="1:44" customFormat="1" x14ac:dyDescent="0.2">
      <c r="A17" t="s">
        <v>100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2">
        <v>25</v>
      </c>
      <c r="X17" s="4">
        <v>26</v>
      </c>
      <c r="Y17" s="4">
        <v>26</v>
      </c>
      <c r="Z17" s="4">
        <v>27</v>
      </c>
      <c r="AA17" s="2">
        <v>28</v>
      </c>
      <c r="AB17" s="4">
        <v>29</v>
      </c>
      <c r="AC17" s="4">
        <v>31</v>
      </c>
      <c r="AD17" s="4">
        <v>31</v>
      </c>
      <c r="AE17" s="4">
        <v>31</v>
      </c>
      <c r="AF17" s="4">
        <v>32</v>
      </c>
      <c r="AG17" s="2">
        <v>33</v>
      </c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</row>
    <row r="18" spans="1:44" customFormat="1" x14ac:dyDescent="0.2">
      <c r="A18" t="s">
        <v>159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2">
        <v>0</v>
      </c>
      <c r="X18" s="4">
        <v>0</v>
      </c>
      <c r="Y18" s="4">
        <v>0</v>
      </c>
      <c r="Z18" s="4">
        <v>2</v>
      </c>
      <c r="AA18" s="2">
        <v>3</v>
      </c>
      <c r="AB18" s="4">
        <v>4</v>
      </c>
      <c r="AC18" s="4">
        <v>5</v>
      </c>
      <c r="AD18" s="4">
        <v>7</v>
      </c>
      <c r="AE18" s="4">
        <v>7</v>
      </c>
      <c r="AF18" s="4">
        <v>16</v>
      </c>
      <c r="AG18" s="4">
        <v>19</v>
      </c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</row>
    <row r="19" spans="1:44" x14ac:dyDescent="0.2">
      <c r="A19" t="s">
        <v>166</v>
      </c>
      <c r="W19" s="2">
        <v>0</v>
      </c>
      <c r="X19" s="2">
        <v>0</v>
      </c>
      <c r="Y19" s="2">
        <v>0</v>
      </c>
      <c r="Z19" s="2">
        <v>0</v>
      </c>
      <c r="AA19" s="2">
        <v>2</v>
      </c>
      <c r="AB19" s="2">
        <v>5</v>
      </c>
      <c r="AC19" s="2">
        <v>7</v>
      </c>
      <c r="AD19" s="2">
        <v>6</v>
      </c>
      <c r="AE19" s="2">
        <v>6</v>
      </c>
      <c r="AF19" s="2">
        <v>7</v>
      </c>
      <c r="AG19" s="2">
        <v>8</v>
      </c>
    </row>
    <row r="20" spans="1:44" customFormat="1" x14ac:dyDescent="0.2">
      <c r="A20" t="s">
        <v>101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2">
        <v>4</v>
      </c>
      <c r="X20" s="4">
        <v>5</v>
      </c>
      <c r="Y20" s="4">
        <v>5</v>
      </c>
      <c r="Z20" s="4">
        <v>5</v>
      </c>
      <c r="AA20" s="2">
        <v>6</v>
      </c>
      <c r="AB20" s="4">
        <v>7</v>
      </c>
      <c r="AC20" s="4">
        <v>7</v>
      </c>
      <c r="AD20" s="4">
        <v>7</v>
      </c>
      <c r="AE20" s="4">
        <v>7</v>
      </c>
      <c r="AF20" s="4">
        <v>8</v>
      </c>
      <c r="AG20" s="4">
        <v>8</v>
      </c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</row>
    <row r="21" spans="1:44" customFormat="1" x14ac:dyDescent="0.2">
      <c r="A21" t="s">
        <v>103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2">
        <v>0</v>
      </c>
      <c r="X21" s="4">
        <v>1</v>
      </c>
      <c r="Y21" s="4">
        <v>2</v>
      </c>
      <c r="Z21" s="4">
        <v>3</v>
      </c>
      <c r="AA21" s="2">
        <v>3</v>
      </c>
      <c r="AB21" s="4">
        <v>3</v>
      </c>
      <c r="AC21" s="4">
        <v>4</v>
      </c>
      <c r="AD21" s="4">
        <v>4</v>
      </c>
      <c r="AE21" s="4">
        <v>4</v>
      </c>
      <c r="AF21" s="4">
        <v>8</v>
      </c>
      <c r="AG21" s="4">
        <v>7</v>
      </c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</row>
    <row r="22" spans="1:44" x14ac:dyDescent="0.2">
      <c r="A22" t="s">
        <v>171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2</v>
      </c>
      <c r="AD22" s="2">
        <v>2</v>
      </c>
      <c r="AE22" s="2">
        <v>2</v>
      </c>
      <c r="AF22" s="2">
        <v>2</v>
      </c>
      <c r="AG22" s="2">
        <v>3</v>
      </c>
    </row>
    <row r="23" spans="1:44" x14ac:dyDescent="0.2">
      <c r="A23" t="s">
        <v>183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1</v>
      </c>
    </row>
    <row r="24" spans="1:44" s="9" customFormat="1" x14ac:dyDescent="0.2">
      <c r="A24" s="8" t="s">
        <v>207</v>
      </c>
      <c r="W24" s="9">
        <f t="shared" ref="W24:AG24" si="10">+SUM(W17:W23)</f>
        <v>29</v>
      </c>
      <c r="X24" s="9">
        <f t="shared" si="10"/>
        <v>32</v>
      </c>
      <c r="Y24" s="9">
        <f t="shared" si="10"/>
        <v>33</v>
      </c>
      <c r="Z24" s="9">
        <f t="shared" si="10"/>
        <v>37</v>
      </c>
      <c r="AA24" s="9">
        <f t="shared" si="10"/>
        <v>42</v>
      </c>
      <c r="AB24" s="9">
        <f t="shared" si="10"/>
        <v>48</v>
      </c>
      <c r="AC24" s="9">
        <f t="shared" si="10"/>
        <v>56</v>
      </c>
      <c r="AD24" s="9">
        <f t="shared" si="10"/>
        <v>57</v>
      </c>
      <c r="AE24" s="9">
        <f t="shared" si="10"/>
        <v>57</v>
      </c>
      <c r="AF24" s="9">
        <f t="shared" si="10"/>
        <v>73</v>
      </c>
      <c r="AG24" s="9">
        <f t="shared" si="10"/>
        <v>79</v>
      </c>
    </row>
    <row r="25" spans="1:44" x14ac:dyDescent="0.2">
      <c r="A25" t="s">
        <v>211</v>
      </c>
      <c r="X25" s="2">
        <f>+X24-W24</f>
        <v>3</v>
      </c>
      <c r="Y25" s="2">
        <f t="shared" ref="Y25:AG25" si="11">+Y24-X24</f>
        <v>1</v>
      </c>
      <c r="Z25" s="2">
        <f t="shared" si="11"/>
        <v>4</v>
      </c>
      <c r="AA25" s="2">
        <f t="shared" si="11"/>
        <v>5</v>
      </c>
      <c r="AB25" s="2">
        <f t="shared" si="11"/>
        <v>6</v>
      </c>
      <c r="AC25" s="2">
        <f t="shared" si="11"/>
        <v>8</v>
      </c>
      <c r="AD25" s="2">
        <f t="shared" si="11"/>
        <v>1</v>
      </c>
      <c r="AE25" s="2">
        <f t="shared" si="11"/>
        <v>0</v>
      </c>
      <c r="AF25" s="2">
        <f t="shared" si="11"/>
        <v>16</v>
      </c>
      <c r="AG25" s="2">
        <f t="shared" si="11"/>
        <v>6</v>
      </c>
    </row>
    <row r="26" spans="1:44" s="9" customFormat="1" x14ac:dyDescent="0.2">
      <c r="A26"/>
    </row>
    <row r="27" spans="1:44" customFormat="1" x14ac:dyDescent="0.2">
      <c r="A27" t="s">
        <v>102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2"/>
      <c r="X27" s="4">
        <v>2</v>
      </c>
      <c r="Y27" s="4">
        <v>6</v>
      </c>
      <c r="Z27" s="4">
        <v>9</v>
      </c>
      <c r="AA27" s="2">
        <v>9</v>
      </c>
      <c r="AB27" s="4">
        <v>12</v>
      </c>
      <c r="AC27" s="4">
        <v>14</v>
      </c>
      <c r="AD27" s="4">
        <v>16</v>
      </c>
      <c r="AE27" s="4">
        <v>16</v>
      </c>
      <c r="AF27" s="4">
        <v>20</v>
      </c>
      <c r="AG27" s="4">
        <v>20</v>
      </c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</row>
    <row r="28" spans="1:44" customFormat="1" x14ac:dyDescent="0.2">
      <c r="A28" t="s">
        <v>160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2"/>
      <c r="X28" s="4">
        <v>0</v>
      </c>
      <c r="Y28" s="4">
        <v>1</v>
      </c>
      <c r="Z28" s="4">
        <v>1</v>
      </c>
      <c r="AA28" s="2">
        <v>2</v>
      </c>
      <c r="AB28" s="4">
        <v>5</v>
      </c>
      <c r="AC28" s="4">
        <v>6</v>
      </c>
      <c r="AD28" s="4">
        <v>7</v>
      </c>
      <c r="AE28" s="4">
        <v>7</v>
      </c>
      <c r="AF28" s="4">
        <v>10</v>
      </c>
      <c r="AG28" s="4">
        <v>9</v>
      </c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</row>
    <row r="29" spans="1:44" x14ac:dyDescent="0.2">
      <c r="A29" t="s">
        <v>169</v>
      </c>
      <c r="X29" s="2">
        <v>0</v>
      </c>
      <c r="Y29" s="2">
        <v>0</v>
      </c>
      <c r="Z29" s="2">
        <v>0</v>
      </c>
      <c r="AA29" s="2">
        <v>0</v>
      </c>
      <c r="AB29" s="2">
        <v>1</v>
      </c>
      <c r="AC29" s="2">
        <v>3</v>
      </c>
      <c r="AD29" s="2">
        <v>3</v>
      </c>
      <c r="AE29" s="2">
        <v>3</v>
      </c>
      <c r="AF29" s="2">
        <v>4</v>
      </c>
      <c r="AG29" s="2">
        <v>6</v>
      </c>
    </row>
    <row r="30" spans="1:44" x14ac:dyDescent="0.2">
      <c r="A30" t="s">
        <v>167</v>
      </c>
      <c r="X30" s="2">
        <v>0</v>
      </c>
      <c r="Y30" s="2">
        <v>0</v>
      </c>
      <c r="Z30" s="2">
        <v>0</v>
      </c>
      <c r="AA30" s="2">
        <v>1</v>
      </c>
      <c r="AB30" s="2">
        <v>1</v>
      </c>
      <c r="AC30" s="2">
        <v>1</v>
      </c>
      <c r="AD30" s="2">
        <v>1</v>
      </c>
      <c r="AE30" s="2">
        <v>1</v>
      </c>
      <c r="AF30" s="2">
        <v>4</v>
      </c>
      <c r="AG30" s="2">
        <v>4</v>
      </c>
    </row>
    <row r="31" spans="1:44" x14ac:dyDescent="0.2">
      <c r="A31" t="s">
        <v>184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3</v>
      </c>
      <c r="AG31" s="2">
        <v>3</v>
      </c>
    </row>
    <row r="32" spans="1:44" x14ac:dyDescent="0.2">
      <c r="A32" t="s">
        <v>172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1</v>
      </c>
      <c r="AD32" s="2">
        <v>1</v>
      </c>
      <c r="AE32" s="2">
        <v>1</v>
      </c>
      <c r="AF32" s="2">
        <v>1</v>
      </c>
      <c r="AG32" s="2">
        <v>2</v>
      </c>
    </row>
    <row r="33" spans="1:44" x14ac:dyDescent="0.2">
      <c r="A33" t="s">
        <v>168</v>
      </c>
      <c r="X33" s="2">
        <v>0</v>
      </c>
      <c r="Y33" s="2">
        <v>0</v>
      </c>
      <c r="Z33" s="2">
        <v>0</v>
      </c>
      <c r="AA33" s="2">
        <v>0</v>
      </c>
      <c r="AB33" s="2">
        <v>1</v>
      </c>
      <c r="AC33" s="2">
        <v>2</v>
      </c>
      <c r="AD33" s="2">
        <v>2</v>
      </c>
      <c r="AE33" s="2">
        <v>2</v>
      </c>
      <c r="AF33" s="2">
        <v>2</v>
      </c>
      <c r="AG33" s="2">
        <v>2</v>
      </c>
    </row>
    <row r="34" spans="1:44" x14ac:dyDescent="0.2">
      <c r="A34" t="s">
        <v>173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1</v>
      </c>
      <c r="AD34" s="2">
        <v>1</v>
      </c>
      <c r="AE34" s="2">
        <v>1</v>
      </c>
      <c r="AF34" s="2">
        <v>1</v>
      </c>
      <c r="AG34" s="2">
        <v>1</v>
      </c>
    </row>
    <row r="35" spans="1:44" customFormat="1" x14ac:dyDescent="0.2">
      <c r="A35" t="s">
        <v>161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2"/>
      <c r="X35" s="4">
        <v>0</v>
      </c>
      <c r="Y35" s="4">
        <v>0</v>
      </c>
      <c r="Z35" s="4">
        <v>1</v>
      </c>
      <c r="AA35" s="2">
        <v>1</v>
      </c>
      <c r="AB35" s="4">
        <v>1</v>
      </c>
      <c r="AC35" s="4">
        <v>1</v>
      </c>
      <c r="AD35" s="4">
        <v>1</v>
      </c>
      <c r="AE35" s="4">
        <v>1</v>
      </c>
      <c r="AF35" s="4">
        <v>1</v>
      </c>
      <c r="AG35" s="4">
        <v>1</v>
      </c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</row>
    <row r="36" spans="1:44" s="9" customFormat="1" x14ac:dyDescent="0.2">
      <c r="A36" s="8" t="s">
        <v>206</v>
      </c>
      <c r="X36" s="9">
        <f t="shared" ref="X36:AF36" si="12">+SUM(X27:X35)</f>
        <v>2</v>
      </c>
      <c r="Y36" s="9">
        <f t="shared" si="12"/>
        <v>7</v>
      </c>
      <c r="Z36" s="9">
        <f t="shared" si="12"/>
        <v>11</v>
      </c>
      <c r="AA36" s="9">
        <f t="shared" si="12"/>
        <v>13</v>
      </c>
      <c r="AB36" s="9">
        <f t="shared" si="12"/>
        <v>21</v>
      </c>
      <c r="AC36" s="9">
        <f t="shared" si="12"/>
        <v>29</v>
      </c>
      <c r="AD36" s="9">
        <f t="shared" si="12"/>
        <v>32</v>
      </c>
      <c r="AE36" s="9">
        <f t="shared" si="12"/>
        <v>32</v>
      </c>
      <c r="AF36" s="9">
        <f t="shared" si="12"/>
        <v>46</v>
      </c>
      <c r="AG36" s="9">
        <f>+SUM(AG27:AG35)</f>
        <v>48</v>
      </c>
    </row>
    <row r="37" spans="1:44" s="21" customFormat="1" x14ac:dyDescent="0.2">
      <c r="A37" s="21" t="s">
        <v>194</v>
      </c>
      <c r="X37" s="21">
        <f>+X36-W36</f>
        <v>2</v>
      </c>
      <c r="Y37" s="21">
        <f t="shared" ref="Y37:AG37" si="13">+Y36-X36</f>
        <v>5</v>
      </c>
      <c r="Z37" s="21">
        <f t="shared" si="13"/>
        <v>4</v>
      </c>
      <c r="AA37" s="21">
        <f t="shared" si="13"/>
        <v>2</v>
      </c>
      <c r="AB37" s="21">
        <f t="shared" si="13"/>
        <v>8</v>
      </c>
      <c r="AC37" s="21">
        <f t="shared" si="13"/>
        <v>8</v>
      </c>
      <c r="AD37" s="21">
        <f t="shared" si="13"/>
        <v>3</v>
      </c>
      <c r="AE37" s="21">
        <f t="shared" si="13"/>
        <v>0</v>
      </c>
      <c r="AF37" s="21">
        <f t="shared" si="13"/>
        <v>14</v>
      </c>
      <c r="AG37" s="21">
        <f t="shared" si="13"/>
        <v>2</v>
      </c>
    </row>
    <row r="38" spans="1:44" s="17" customFormat="1" x14ac:dyDescent="0.2"/>
    <row r="39" spans="1:44" s="21" customFormat="1" x14ac:dyDescent="0.2">
      <c r="A39" s="21" t="s">
        <v>210</v>
      </c>
      <c r="N39" s="21">
        <v>10</v>
      </c>
      <c r="O39" s="21">
        <v>12</v>
      </c>
      <c r="P39" s="21">
        <v>15</v>
      </c>
      <c r="Q39" s="21">
        <v>26</v>
      </c>
      <c r="X39" s="21">
        <f t="shared" ref="X39:AG39" si="14">+X41-W41</f>
        <v>48</v>
      </c>
      <c r="Y39" s="21">
        <f t="shared" si="14"/>
        <v>58</v>
      </c>
      <c r="Z39" s="21">
        <f t="shared" si="14"/>
        <v>40</v>
      </c>
      <c r="AA39" s="21">
        <f t="shared" si="14"/>
        <v>-11</v>
      </c>
      <c r="AB39" s="21">
        <f t="shared" si="14"/>
        <v>29</v>
      </c>
      <c r="AC39" s="21">
        <f t="shared" si="14"/>
        <v>35</v>
      </c>
      <c r="AD39" s="21">
        <f t="shared" si="14"/>
        <v>13</v>
      </c>
      <c r="AE39" s="21">
        <f t="shared" si="14"/>
        <v>0</v>
      </c>
      <c r="AF39" s="21">
        <f t="shared" si="14"/>
        <v>72</v>
      </c>
      <c r="AG39" s="21">
        <f t="shared" si="14"/>
        <v>27</v>
      </c>
    </row>
    <row r="40" spans="1:44" s="21" customFormat="1" x14ac:dyDescent="0.2">
      <c r="A40" s="21" t="s">
        <v>221</v>
      </c>
      <c r="N40" s="21">
        <v>3</v>
      </c>
      <c r="O40" s="21">
        <v>2</v>
      </c>
      <c r="P40" s="21">
        <v>1</v>
      </c>
      <c r="Q40" s="21">
        <v>1</v>
      </c>
    </row>
    <row r="41" spans="1:44" s="8" customFormat="1" x14ac:dyDescent="0.2">
      <c r="A41" s="8" t="s">
        <v>185</v>
      </c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>
        <v>662</v>
      </c>
      <c r="O41" s="22">
        <f>+N41+O39-O40</f>
        <v>672</v>
      </c>
      <c r="P41" s="22">
        <f t="shared" ref="P41:Q41" si="15">+O41+P39-P40</f>
        <v>686</v>
      </c>
      <c r="Q41" s="22">
        <f t="shared" si="15"/>
        <v>711</v>
      </c>
      <c r="R41" s="19"/>
      <c r="S41" s="19"/>
      <c r="T41" s="19"/>
      <c r="U41" s="19"/>
      <c r="V41" s="19"/>
      <c r="W41" s="20">
        <f t="shared" ref="W41:AG41" si="16">+W36+W24+W7</f>
        <v>254</v>
      </c>
      <c r="X41" s="20">
        <f t="shared" si="16"/>
        <v>302</v>
      </c>
      <c r="Y41" s="20">
        <f t="shared" si="16"/>
        <v>360</v>
      </c>
      <c r="Z41" s="20">
        <f t="shared" si="16"/>
        <v>400</v>
      </c>
      <c r="AA41" s="20">
        <f t="shared" si="16"/>
        <v>389</v>
      </c>
      <c r="AB41" s="20">
        <f t="shared" si="16"/>
        <v>418</v>
      </c>
      <c r="AC41" s="20">
        <f t="shared" si="16"/>
        <v>453</v>
      </c>
      <c r="AD41" s="20">
        <f t="shared" si="16"/>
        <v>466</v>
      </c>
      <c r="AE41" s="20">
        <f t="shared" si="16"/>
        <v>466</v>
      </c>
      <c r="AF41" s="20">
        <f t="shared" si="16"/>
        <v>538</v>
      </c>
      <c r="AG41" s="20">
        <f t="shared" si="16"/>
        <v>565</v>
      </c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</row>
    <row r="42" spans="1:44" s="17" customFormat="1" x14ac:dyDescent="0.2"/>
    <row r="43" spans="1:44" x14ac:dyDescent="0.2">
      <c r="A43" s="8" t="s">
        <v>186</v>
      </c>
    </row>
    <row r="44" spans="1:44" x14ac:dyDescent="0.2">
      <c r="A44" t="s">
        <v>187</v>
      </c>
      <c r="AF44" s="2">
        <v>12</v>
      </c>
      <c r="AG44" s="2">
        <v>15</v>
      </c>
    </row>
    <row r="45" spans="1:44" x14ac:dyDescent="0.2">
      <c r="A45" t="s">
        <v>188</v>
      </c>
      <c r="AF45" s="2">
        <v>7</v>
      </c>
      <c r="AG45" s="2">
        <v>8</v>
      </c>
    </row>
    <row r="46" spans="1:44" x14ac:dyDescent="0.2">
      <c r="A46" t="s">
        <v>189</v>
      </c>
      <c r="AF46" s="2">
        <v>3</v>
      </c>
      <c r="AG46" s="2">
        <v>6</v>
      </c>
    </row>
    <row r="47" spans="1:44" x14ac:dyDescent="0.2">
      <c r="A47" t="s">
        <v>190</v>
      </c>
      <c r="AF47" s="2">
        <v>0</v>
      </c>
      <c r="AG47" s="2">
        <v>3</v>
      </c>
    </row>
    <row r="48" spans="1:44" x14ac:dyDescent="0.2">
      <c r="A48" t="s">
        <v>191</v>
      </c>
      <c r="AF48" s="2">
        <v>1</v>
      </c>
      <c r="AG48" s="2">
        <v>3</v>
      </c>
    </row>
    <row r="49" spans="1:44" x14ac:dyDescent="0.2">
      <c r="A49" t="s">
        <v>192</v>
      </c>
      <c r="AF49" s="2">
        <v>3</v>
      </c>
      <c r="AG49" s="2">
        <v>3</v>
      </c>
    </row>
    <row r="50" spans="1:44" x14ac:dyDescent="0.2">
      <c r="A50" t="s">
        <v>193</v>
      </c>
      <c r="AF50" s="2">
        <v>0</v>
      </c>
      <c r="AG50" s="2">
        <v>1</v>
      </c>
    </row>
    <row r="51" spans="1:44" s="9" customFormat="1" x14ac:dyDescent="0.2">
      <c r="A51" s="8" t="s">
        <v>163</v>
      </c>
      <c r="AF51" s="9">
        <f>+SUM(AF44:AF50)</f>
        <v>26</v>
      </c>
      <c r="AG51" s="9">
        <f>+SUM(AG44:AG50)</f>
        <v>39</v>
      </c>
    </row>
    <row r="52" spans="1:44" x14ac:dyDescent="0.2">
      <c r="A52" t="s">
        <v>205</v>
      </c>
      <c r="AG52" s="2">
        <f>+AG51-AF51</f>
        <v>13</v>
      </c>
    </row>
    <row r="54" spans="1:44" customFormat="1" x14ac:dyDescent="0.2">
      <c r="A54" s="8" t="s">
        <v>164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2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</row>
    <row r="55" spans="1:44" x14ac:dyDescent="0.2">
      <c r="A55" s="2" t="s">
        <v>98</v>
      </c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>
        <v>839.90800000000002</v>
      </c>
      <c r="W55" s="13">
        <v>1052.1479999999999</v>
      </c>
      <c r="X55" s="2">
        <v>1257.3510000000001</v>
      </c>
      <c r="Y55" s="13">
        <v>1508.8409999999999</v>
      </c>
      <c r="Z55" s="13">
        <v>1726.076</v>
      </c>
      <c r="AA55" s="2">
        <v>1911.7629999999999</v>
      </c>
      <c r="AB55" s="13">
        <v>2363.3739999999998</v>
      </c>
      <c r="AC55" s="13">
        <v>2854.364</v>
      </c>
      <c r="AD55" s="13">
        <v>3105.1329999999998</v>
      </c>
      <c r="AE55" s="13">
        <v>4345.6869999999999</v>
      </c>
      <c r="AF55" s="2">
        <v>5654.3429999999998</v>
      </c>
      <c r="AG55" s="13">
        <v>6346.3919999999998</v>
      </c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</row>
    <row r="56" spans="1:44" x14ac:dyDescent="0.2">
      <c r="A56" s="2" t="s">
        <v>99</v>
      </c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>
        <v>461.58600000000001</v>
      </c>
      <c r="W56" s="13">
        <v>454.209</v>
      </c>
      <c r="X56" s="2">
        <v>434.32799999999997</v>
      </c>
      <c r="Y56" s="13">
        <v>416.52</v>
      </c>
      <c r="Z56" s="13">
        <v>447.16699999999997</v>
      </c>
      <c r="AA56" s="2">
        <v>491.779</v>
      </c>
      <c r="AB56" s="13">
        <v>565.10500000000002</v>
      </c>
      <c r="AC56" s="13">
        <v>649.11400000000003</v>
      </c>
      <c r="AD56" s="13">
        <v>672.60699999999997</v>
      </c>
      <c r="AE56" s="13">
        <v>954.21900000000005</v>
      </c>
      <c r="AF56" s="2">
        <v>1163.1110000000001</v>
      </c>
      <c r="AG56" s="13">
        <v>1285.2550000000001</v>
      </c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</row>
    <row r="57" spans="1:44" s="9" customFormat="1" x14ac:dyDescent="0.2">
      <c r="A57" s="9" t="s">
        <v>163</v>
      </c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>
        <f t="shared" ref="V57:AF57" si="17">+SUM(V55:V56)</f>
        <v>1301.4940000000001</v>
      </c>
      <c r="W57" s="20">
        <f t="shared" si="17"/>
        <v>1506.357</v>
      </c>
      <c r="X57" s="20">
        <f t="shared" si="17"/>
        <v>1691.6790000000001</v>
      </c>
      <c r="Y57" s="20">
        <f t="shared" si="17"/>
        <v>1925.3609999999999</v>
      </c>
      <c r="Z57" s="20">
        <f t="shared" si="17"/>
        <v>2173.2429999999999</v>
      </c>
      <c r="AA57" s="20">
        <f t="shared" si="17"/>
        <v>2403.5419999999999</v>
      </c>
      <c r="AB57" s="20">
        <f t="shared" si="17"/>
        <v>2928.4789999999998</v>
      </c>
      <c r="AC57" s="20">
        <f t="shared" si="17"/>
        <v>3503.4780000000001</v>
      </c>
      <c r="AD57" s="20">
        <f t="shared" si="17"/>
        <v>3777.74</v>
      </c>
      <c r="AE57" s="20">
        <f t="shared" si="17"/>
        <v>5299.9059999999999</v>
      </c>
      <c r="AF57" s="20">
        <f t="shared" si="17"/>
        <v>6817.4539999999997</v>
      </c>
      <c r="AG57" s="20">
        <f>+SUM(AG55:AG56)</f>
        <v>7631.6469999999999</v>
      </c>
      <c r="AH57" s="20"/>
      <c r="AI57" s="20"/>
      <c r="AJ57" s="20"/>
      <c r="AK57" s="20"/>
      <c r="AL57" s="20"/>
      <c r="AM57" s="20"/>
      <c r="AN57" s="20"/>
      <c r="AO57" s="20"/>
      <c r="AP57" s="20"/>
      <c r="AQ57" s="20"/>
      <c r="AR57" s="20"/>
    </row>
    <row r="58" spans="1:44" x14ac:dyDescent="0.2">
      <c r="A58" t="s">
        <v>179</v>
      </c>
      <c r="AE58" s="2">
        <v>434.26100000000002</v>
      </c>
      <c r="AF58" s="2">
        <v>576.50300000000004</v>
      </c>
      <c r="AG58" s="2">
        <v>963.76</v>
      </c>
    </row>
    <row r="59" spans="1:44" x14ac:dyDescent="0.2">
      <c r="A59" s="2" t="s">
        <v>195</v>
      </c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Y59" s="13"/>
      <c r="Z59" s="13"/>
      <c r="AB59" s="13"/>
      <c r="AC59" s="13"/>
      <c r="AD59" s="13"/>
      <c r="AE59" s="13">
        <v>86.111000000000004</v>
      </c>
      <c r="AF59" s="2">
        <v>105.13</v>
      </c>
      <c r="AG59" s="13">
        <v>170.53299999999999</v>
      </c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</row>
    <row r="60" spans="1:44" s="9" customFormat="1" x14ac:dyDescent="0.2">
      <c r="A60" s="9" t="s">
        <v>163</v>
      </c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Y60" s="20"/>
      <c r="Z60" s="20"/>
      <c r="AB60" s="20"/>
      <c r="AC60" s="20"/>
      <c r="AD60" s="20"/>
      <c r="AE60" s="20">
        <f t="shared" ref="AE60:AF60" si="18">+SUM(AE58:AE59)</f>
        <v>520.37200000000007</v>
      </c>
      <c r="AF60" s="20">
        <f t="shared" si="18"/>
        <v>681.63300000000004</v>
      </c>
      <c r="AG60" s="20">
        <f>+SUM(AG58:AG59)</f>
        <v>1134.2929999999999</v>
      </c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</row>
    <row r="61" spans="1:44" s="9" customFormat="1" x14ac:dyDescent="0.2">
      <c r="A61" s="9" t="s">
        <v>165</v>
      </c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>
        <v>68.864000000000004</v>
      </c>
      <c r="W61" s="20">
        <v>84.831000000000003</v>
      </c>
      <c r="X61" s="9">
        <v>105.53400000000001</v>
      </c>
      <c r="Y61" s="20">
        <v>135.16200000000001</v>
      </c>
      <c r="Z61" s="20">
        <v>171.149</v>
      </c>
      <c r="AA61" s="9">
        <v>245.63900000000001</v>
      </c>
      <c r="AB61" s="20">
        <v>359.84</v>
      </c>
      <c r="AC61" s="20">
        <v>475.81799999999998</v>
      </c>
      <c r="AD61" s="20">
        <v>624.13900000000001</v>
      </c>
      <c r="AE61" s="20">
        <v>436.339</v>
      </c>
      <c r="AF61" s="9">
        <v>611.43100000000004</v>
      </c>
      <c r="AG61" s="20">
        <v>853.33799999999997</v>
      </c>
      <c r="AH61" s="20"/>
      <c r="AI61" s="20"/>
      <c r="AJ61" s="20"/>
      <c r="AK61" s="20"/>
      <c r="AL61" s="20"/>
      <c r="AM61" s="20"/>
      <c r="AN61" s="20"/>
      <c r="AO61" s="20"/>
      <c r="AP61" s="20"/>
      <c r="AQ61" s="20"/>
      <c r="AR61" s="20"/>
    </row>
    <row r="62" spans="1:44" s="8" customFormat="1" x14ac:dyDescent="0.2"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20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</row>
    <row r="63" spans="1:44" s="6" customFormat="1" x14ac:dyDescent="0.2">
      <c r="A63" s="10" t="s">
        <v>204</v>
      </c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</row>
    <row r="64" spans="1:44" s="21" customFormat="1" x14ac:dyDescent="0.2">
      <c r="A64" s="21" t="s">
        <v>98</v>
      </c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W64" s="21">
        <f t="shared" ref="W64:AG64" si="19">+(W55/W5)*W82</f>
        <v>4.7523756087088227</v>
      </c>
      <c r="X64" s="21">
        <f t="shared" si="19"/>
        <v>4.4703023817343226</v>
      </c>
      <c r="Y64" s="21">
        <f t="shared" si="19"/>
        <v>4.2705556413123489</v>
      </c>
      <c r="Z64" s="21">
        <f t="shared" si="19"/>
        <v>4.3571023738244286</v>
      </c>
      <c r="AA64" s="21">
        <f t="shared" si="19"/>
        <v>4.8383399643479397</v>
      </c>
      <c r="AB64" s="21">
        <f t="shared" si="19"/>
        <v>5.3622993931283069</v>
      </c>
      <c r="AC64" s="21">
        <f t="shared" si="19"/>
        <v>5.8820484387748371</v>
      </c>
      <c r="AD64" s="21">
        <f t="shared" si="19"/>
        <v>3.7147313582691277</v>
      </c>
      <c r="AE64" s="21">
        <f t="shared" si="19"/>
        <v>6.2015519566275268</v>
      </c>
      <c r="AF64" s="21">
        <f t="shared" si="19"/>
        <v>7.2666703957083874</v>
      </c>
      <c r="AG64" s="21">
        <f t="shared" si="19"/>
        <v>7.9295963245306647</v>
      </c>
      <c r="AH64" s="23"/>
      <c r="AI64" s="23"/>
      <c r="AJ64" s="23"/>
      <c r="AK64" s="23"/>
      <c r="AL64" s="23"/>
      <c r="AM64" s="23"/>
      <c r="AN64" s="23"/>
      <c r="AO64" s="23"/>
      <c r="AP64" s="23"/>
      <c r="AQ64" s="23"/>
      <c r="AR64" s="23"/>
    </row>
    <row r="65" spans="1:44" s="21" customFormat="1" x14ac:dyDescent="0.2">
      <c r="A65" s="21" t="s">
        <v>99</v>
      </c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1">
        <f t="shared" ref="W65:AG65" si="20">+(W56/W6)*W82</f>
        <v>6.4966879951401788</v>
      </c>
      <c r="X65" s="21">
        <f t="shared" si="20"/>
        <v>5.7161786962134666</v>
      </c>
      <c r="Y65" s="21">
        <f t="shared" si="20"/>
        <v>5.1085643140115389</v>
      </c>
      <c r="Z65" s="21">
        <f t="shared" si="20"/>
        <v>5.0794900035582247</v>
      </c>
      <c r="AA65" s="21">
        <f t="shared" si="20"/>
        <v>5.6837062009919288</v>
      </c>
      <c r="AB65" s="21">
        <f t="shared" si="20"/>
        <v>5.7096914635325451</v>
      </c>
      <c r="AC65" s="21">
        <f t="shared" si="20"/>
        <v>6.4758906570169108</v>
      </c>
      <c r="AD65" s="21">
        <f t="shared" si="20"/>
        <v>4.0881559305696502</v>
      </c>
      <c r="AE65" s="21">
        <f t="shared" si="20"/>
        <v>6.9184509745983673</v>
      </c>
      <c r="AF65" s="21">
        <f t="shared" si="20"/>
        <v>7.5821684469564659</v>
      </c>
      <c r="AG65" s="21">
        <f t="shared" si="20"/>
        <v>8.30082394456538</v>
      </c>
      <c r="AH65" s="23"/>
      <c r="AI65" s="23"/>
      <c r="AJ65" s="23"/>
      <c r="AK65" s="23"/>
      <c r="AL65" s="23"/>
      <c r="AM65" s="23"/>
      <c r="AN65" s="23"/>
      <c r="AO65" s="23"/>
      <c r="AP65" s="23"/>
      <c r="AQ65" s="23"/>
      <c r="AR65" s="23"/>
    </row>
    <row r="66" spans="1:44" s="21" customFormat="1" x14ac:dyDescent="0.2">
      <c r="A66" s="21" t="s">
        <v>179</v>
      </c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AE66" s="21">
        <f>+SUM(AE58:AE59)/AE14*AE82</f>
        <v>4.2530817267949352</v>
      </c>
      <c r="AF66" s="21">
        <f>+SUM(AF58:AF59)/AF14*AF82</f>
        <v>2.6205116956581755</v>
      </c>
      <c r="AG66" s="21">
        <f>+SUM(AG58:AG59)/AG14*AG82</f>
        <v>3.5625637592052692</v>
      </c>
      <c r="AH66" s="23"/>
      <c r="AI66" s="23"/>
      <c r="AJ66" s="23"/>
      <c r="AK66" s="23"/>
      <c r="AL66" s="23"/>
      <c r="AM66" s="23"/>
      <c r="AN66" s="23"/>
      <c r="AO66" s="23"/>
      <c r="AP66" s="23"/>
      <c r="AQ66" s="23"/>
      <c r="AR66" s="23"/>
    </row>
    <row r="67" spans="1:44" s="21" customFormat="1" x14ac:dyDescent="0.2">
      <c r="A67" s="21" t="s">
        <v>203</v>
      </c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1">
        <f t="shared" ref="W67:AG67" si="21">+W61/(W36+W24)*W82</f>
        <v>2.2593661783869488</v>
      </c>
      <c r="X67" s="21">
        <f t="shared" si="21"/>
        <v>2.3285003461732461</v>
      </c>
      <c r="Y67" s="21">
        <f t="shared" si="21"/>
        <v>2.4866168604524193</v>
      </c>
      <c r="Z67" s="21">
        <f t="shared" si="21"/>
        <v>2.5921699189757943</v>
      </c>
      <c r="AA67" s="21">
        <f t="shared" si="21"/>
        <v>3.0970450492572472</v>
      </c>
      <c r="AB67" s="21">
        <f t="shared" si="21"/>
        <v>3.3722814390195603</v>
      </c>
      <c r="AC67" s="21">
        <f t="shared" si="21"/>
        <v>3.5183660562542309</v>
      </c>
      <c r="AD67" s="21">
        <f t="shared" si="21"/>
        <v>2.6427073533697363</v>
      </c>
      <c r="AE67" s="21">
        <f t="shared" si="21"/>
        <v>2.2038727894776273</v>
      </c>
      <c r="AF67" s="21">
        <f t="shared" si="21"/>
        <v>2.3111165568912742</v>
      </c>
      <c r="AG67" s="21">
        <f t="shared" si="21"/>
        <v>3.0811129133002702</v>
      </c>
      <c r="AH67" s="23"/>
      <c r="AI67" s="23"/>
      <c r="AJ67" s="23"/>
      <c r="AK67" s="23"/>
      <c r="AL67" s="23"/>
      <c r="AM67" s="23"/>
      <c r="AN67" s="23"/>
      <c r="AO67" s="23"/>
      <c r="AP67" s="23"/>
      <c r="AQ67" s="23"/>
      <c r="AR67" s="23"/>
    </row>
    <row r="68" spans="1:44" s="8" customFormat="1" x14ac:dyDescent="0.2"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20"/>
      <c r="Y68" s="19"/>
      <c r="Z68" s="19"/>
      <c r="AA68" s="19"/>
      <c r="AB68" s="19"/>
      <c r="AC68" s="19"/>
      <c r="AD68" s="19"/>
      <c r="AE68" s="19"/>
      <c r="AF68" s="19"/>
      <c r="AG68" s="19"/>
      <c r="AH68" s="22"/>
      <c r="AI68" s="19"/>
      <c r="AJ68" s="19"/>
      <c r="AK68" s="19"/>
      <c r="AL68" s="19"/>
      <c r="AM68" s="19"/>
      <c r="AN68" s="19"/>
      <c r="AO68" s="19"/>
      <c r="AP68" s="19"/>
      <c r="AQ68" s="19"/>
      <c r="AR68" s="19"/>
    </row>
    <row r="69" spans="1:44" x14ac:dyDescent="0.2">
      <c r="A69" s="9" t="s">
        <v>177</v>
      </c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Y69" s="13"/>
      <c r="Z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</row>
    <row r="70" spans="1:44" x14ac:dyDescent="0.2">
      <c r="A70" s="2" t="s">
        <v>174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Y70" s="13"/>
      <c r="Z70" s="13"/>
      <c r="AA70" s="2">
        <v>1892.624</v>
      </c>
      <c r="AB70" s="13">
        <v>2334.5819999999999</v>
      </c>
      <c r="AC70" s="13">
        <v>2757.826</v>
      </c>
      <c r="AD70" s="13">
        <v>3049.9059999999999</v>
      </c>
      <c r="AE70" s="13">
        <v>4171.7619999999997</v>
      </c>
      <c r="AF70" s="13">
        <v>5259.8029999999999</v>
      </c>
      <c r="AG70" s="13">
        <v>6147.3720000000003</v>
      </c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</row>
    <row r="71" spans="1:44" s="6" customFormat="1" x14ac:dyDescent="0.2">
      <c r="A71" s="6" t="s">
        <v>196</v>
      </c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Y71" s="12"/>
      <c r="Z71" s="12"/>
      <c r="AB71" s="12">
        <f t="shared" ref="AB71:AF71" si="22">+AB70/AA70-1</f>
        <v>0.23351600740559131</v>
      </c>
      <c r="AC71" s="12">
        <f t="shared" si="22"/>
        <v>0.18129326791691192</v>
      </c>
      <c r="AD71" s="12">
        <f t="shared" si="22"/>
        <v>0.10590950988205927</v>
      </c>
      <c r="AE71" s="12">
        <f t="shared" si="22"/>
        <v>0.36783297583597641</v>
      </c>
      <c r="AF71" s="12">
        <f t="shared" si="22"/>
        <v>0.26081089956713743</v>
      </c>
      <c r="AG71" s="12">
        <f>+AG70/AF70-1</f>
        <v>0.16874567355469394</v>
      </c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</row>
    <row r="72" spans="1:44" x14ac:dyDescent="0.2">
      <c r="A72" s="2" t="s">
        <v>175</v>
      </c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Y72" s="13"/>
      <c r="Z72" s="13"/>
      <c r="AA72" s="2">
        <v>526.53499999999997</v>
      </c>
      <c r="AB72" s="13">
        <v>690.53</v>
      </c>
      <c r="AC72" s="13">
        <v>927.24</v>
      </c>
      <c r="AD72" s="13">
        <v>953.18299999999999</v>
      </c>
      <c r="AE72" s="13">
        <v>1635.85</v>
      </c>
      <c r="AF72" s="13">
        <v>1956.6020000000001</v>
      </c>
      <c r="AG72" s="13">
        <v>2252.7530000000002</v>
      </c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</row>
    <row r="73" spans="1:44" s="6" customFormat="1" x14ac:dyDescent="0.2">
      <c r="A73" s="6" t="s">
        <v>197</v>
      </c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Y73" s="12"/>
      <c r="Z73" s="12"/>
      <c r="AB73" s="12">
        <f t="shared" ref="AB73:AF73" si="23">+AB72/AA72-1</f>
        <v>0.3114607765865518</v>
      </c>
      <c r="AC73" s="12">
        <f t="shared" si="23"/>
        <v>0.34279466496748889</v>
      </c>
      <c r="AD73" s="12">
        <f t="shared" si="23"/>
        <v>2.7978732582718546E-2</v>
      </c>
      <c r="AE73" s="12">
        <f t="shared" si="23"/>
        <v>0.71619720452420976</v>
      </c>
      <c r="AF73" s="12">
        <f t="shared" si="23"/>
        <v>0.19607665739523816</v>
      </c>
      <c r="AG73" s="12">
        <f>+AG72/AF72-1</f>
        <v>0.15135985754895476</v>
      </c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</row>
    <row r="74" spans="1:44" x14ac:dyDescent="0.2">
      <c r="A74" s="2" t="s">
        <v>176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Y74" s="13"/>
      <c r="Z74" s="13"/>
      <c r="AA74" s="2">
        <v>230.02199999999999</v>
      </c>
      <c r="AB74" s="13">
        <v>263.20699999999999</v>
      </c>
      <c r="AC74" s="13">
        <v>284.23</v>
      </c>
      <c r="AD74" s="13">
        <v>398.79</v>
      </c>
      <c r="AE74" s="13">
        <v>549.005</v>
      </c>
      <c r="AF74" s="13">
        <v>894.11300000000006</v>
      </c>
      <c r="AG74" s="13">
        <v>1219.153</v>
      </c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</row>
    <row r="75" spans="1:44" s="6" customFormat="1" x14ac:dyDescent="0.2">
      <c r="A75" s="6" t="s">
        <v>198</v>
      </c>
      <c r="AB75" s="6">
        <f t="shared" ref="AB75:AF75" si="24">+AB74/AA74-1</f>
        <v>0.14426880907043671</v>
      </c>
      <c r="AC75" s="6">
        <f t="shared" si="24"/>
        <v>7.987249579228517E-2</v>
      </c>
      <c r="AD75" s="6">
        <f t="shared" si="24"/>
        <v>0.40305386482778038</v>
      </c>
      <c r="AE75" s="6">
        <f t="shared" si="24"/>
        <v>0.37667694776699512</v>
      </c>
      <c r="AF75" s="6">
        <f t="shared" si="24"/>
        <v>0.62860629684611258</v>
      </c>
      <c r="AG75" s="6">
        <f>+AG74/AF74-1</f>
        <v>0.36353346836473688</v>
      </c>
    </row>
    <row r="76" spans="1:44" customFormat="1" x14ac:dyDescent="0.2"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</row>
    <row r="77" spans="1:44" x14ac:dyDescent="0.2">
      <c r="A77" s="2" t="s">
        <v>104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>
        <v>2632</v>
      </c>
      <c r="O77" s="13">
        <v>2691</v>
      </c>
      <c r="P77" s="13">
        <v>2797</v>
      </c>
      <c r="Q77" s="13">
        <v>2967</v>
      </c>
      <c r="R77" s="13"/>
      <c r="S77" s="13"/>
      <c r="T77" s="13"/>
      <c r="U77" s="13"/>
      <c r="V77" s="13"/>
      <c r="W77" s="13"/>
      <c r="X77" s="13">
        <v>2950</v>
      </c>
      <c r="Y77" s="13">
        <v>2968</v>
      </c>
      <c r="Z77" s="13">
        <v>2941</v>
      </c>
      <c r="AA77" s="13">
        <v>3012</v>
      </c>
      <c r="AB77" s="13">
        <v>3030</v>
      </c>
      <c r="AC77" s="13">
        <v>3127</v>
      </c>
      <c r="AD77" s="13"/>
      <c r="AE77" s="13"/>
      <c r="AF77" s="13">
        <v>2575</v>
      </c>
      <c r="AG77" s="13">
        <v>2967</v>
      </c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</row>
    <row r="78" spans="1:44" x14ac:dyDescent="0.2">
      <c r="A78" s="2" t="s">
        <v>170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>
        <v>1678</v>
      </c>
      <c r="Y78" s="13">
        <v>1541</v>
      </c>
      <c r="Z78" s="13">
        <v>1521</v>
      </c>
      <c r="AA78" s="13">
        <v>1554</v>
      </c>
      <c r="AB78" s="13">
        <v>1579</v>
      </c>
      <c r="AC78" s="13">
        <v>1657</v>
      </c>
      <c r="AD78" s="13" t="s">
        <v>178</v>
      </c>
      <c r="AE78" s="13">
        <v>1443</v>
      </c>
      <c r="AF78" s="13">
        <v>1580</v>
      </c>
      <c r="AG78" s="13">
        <v>1609</v>
      </c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</row>
    <row r="79" spans="1:44" x14ac:dyDescent="0.2">
      <c r="A79" s="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</row>
    <row r="80" spans="1:44" x14ac:dyDescent="0.2">
      <c r="A80" s="9" t="s">
        <v>202</v>
      </c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</row>
    <row r="81" spans="1:145" x14ac:dyDescent="0.2">
      <c r="A81" s="2" t="s">
        <v>95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2">
        <v>1228.999</v>
      </c>
      <c r="X81" s="13">
        <v>1348.2249999999999</v>
      </c>
      <c r="Y81" s="13">
        <v>1516.3230000000001</v>
      </c>
      <c r="Z81" s="13">
        <v>1704.357</v>
      </c>
      <c r="AA81" s="13">
        <v>1837.0650000000001</v>
      </c>
      <c r="AB81" s="2">
        <v>2126.3629999999998</v>
      </c>
      <c r="AC81" s="13">
        <v>2501.067</v>
      </c>
      <c r="AD81" s="2">
        <v>1658.807</v>
      </c>
      <c r="AE81" s="13">
        <v>2812.4969999999998</v>
      </c>
      <c r="AF81" s="13">
        <v>3648.127</v>
      </c>
      <c r="AG81" s="13">
        <v>4410.9560000000001</v>
      </c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</row>
    <row r="82" spans="1:145" s="6" customFormat="1" x14ac:dyDescent="0.2">
      <c r="A82" s="6" t="s">
        <v>199</v>
      </c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6">
        <f t="shared" ref="W82:AG82" si="25">+W81/W88</f>
        <v>0.77237824820197232</v>
      </c>
      <c r="X82" s="6">
        <f t="shared" si="25"/>
        <v>0.75017541048278635</v>
      </c>
      <c r="Y82" s="6">
        <f t="shared" si="25"/>
        <v>0.73589229530560929</v>
      </c>
      <c r="Z82" s="6">
        <f t="shared" si="25"/>
        <v>0.72699318202757901</v>
      </c>
      <c r="AA82" s="6">
        <f t="shared" si="25"/>
        <v>0.69344638965778482</v>
      </c>
      <c r="AB82" s="6">
        <f t="shared" si="25"/>
        <v>0.64664133862925099</v>
      </c>
      <c r="AC82" s="6">
        <f t="shared" si="25"/>
        <v>0.62851996936141474</v>
      </c>
      <c r="AD82" s="6">
        <f t="shared" si="25"/>
        <v>0.37684066281694706</v>
      </c>
      <c r="AE82" s="6">
        <f t="shared" si="25"/>
        <v>0.44952360037381223</v>
      </c>
      <c r="AF82" s="6">
        <f t="shared" si="25"/>
        <v>0.44980197319086151</v>
      </c>
      <c r="AG82" s="6">
        <f t="shared" si="25"/>
        <v>0.458553750083946</v>
      </c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</row>
    <row r="83" spans="1:145" x14ac:dyDescent="0.2">
      <c r="A83" s="2" t="s">
        <v>162</v>
      </c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2">
        <v>263.08300000000003</v>
      </c>
      <c r="X83" s="13">
        <v>321.18</v>
      </c>
      <c r="Y83" s="13">
        <v>401.52499999999998</v>
      </c>
      <c r="Z83" s="13">
        <v>453.28699999999998</v>
      </c>
      <c r="AA83" s="13">
        <v>577.59</v>
      </c>
      <c r="AB83" s="2">
        <v>858.85599999999999</v>
      </c>
      <c r="AC83" s="13">
        <v>1137.8219999999999</v>
      </c>
      <c r="AD83" s="2">
        <v>2284.0680000000002</v>
      </c>
      <c r="AE83" s="13">
        <v>2777.944</v>
      </c>
      <c r="AF83" s="13">
        <v>3699.7910000000002</v>
      </c>
      <c r="AG83" s="13">
        <v>4311.1099999999997</v>
      </c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</row>
    <row r="84" spans="1:145" s="6" customFormat="1" x14ac:dyDescent="0.2">
      <c r="A84" s="6" t="s">
        <v>200</v>
      </c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6">
        <f t="shared" ref="W84:AG84" si="26">+W83/W88</f>
        <v>0.16533747112220556</v>
      </c>
      <c r="X84" s="6">
        <f t="shared" si="26"/>
        <v>0.17871003603913393</v>
      </c>
      <c r="Y84" s="6">
        <f t="shared" si="26"/>
        <v>0.19486557539032565</v>
      </c>
      <c r="Z84" s="6">
        <f t="shared" si="26"/>
        <v>0.19334949104074745</v>
      </c>
      <c r="AA84" s="6">
        <f t="shared" si="26"/>
        <v>0.21802587290185158</v>
      </c>
      <c r="AB84" s="6">
        <f t="shared" si="26"/>
        <v>0.26118390581935635</v>
      </c>
      <c r="AC84" s="6">
        <f t="shared" si="26"/>
        <v>0.2859355021591759</v>
      </c>
      <c r="AD84" s="6">
        <f t="shared" si="26"/>
        <v>0.51888477625123275</v>
      </c>
      <c r="AE84" s="6">
        <f t="shared" si="26"/>
        <v>0.44400096729590444</v>
      </c>
      <c r="AF84" s="6">
        <f t="shared" si="26"/>
        <v>0.45617197323278241</v>
      </c>
      <c r="AG84" s="6">
        <f t="shared" si="26"/>
        <v>0.44817396898187156</v>
      </c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</row>
    <row r="85" spans="1:145" x14ac:dyDescent="0.2">
      <c r="A85" s="2" t="s">
        <v>53</v>
      </c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2">
        <v>99.105999999999995</v>
      </c>
      <c r="X85" s="13">
        <v>127.80800000000001</v>
      </c>
      <c r="Y85" s="13">
        <v>142.67500000000001</v>
      </c>
      <c r="Z85" s="13">
        <v>186.74799999999999</v>
      </c>
      <c r="AA85" s="13">
        <v>234.52600000000001</v>
      </c>
      <c r="AB85" s="2">
        <v>303.10000000000002</v>
      </c>
      <c r="AC85" s="13">
        <v>340.40699999999998</v>
      </c>
      <c r="AD85" s="2">
        <v>459.00400000000002</v>
      </c>
      <c r="AE85" s="13">
        <v>657.17600000000004</v>
      </c>
      <c r="AF85" s="13">
        <v>762.6</v>
      </c>
      <c r="AG85" s="13">
        <v>897.21199999999999</v>
      </c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</row>
    <row r="86" spans="1:145" s="6" customFormat="1" x14ac:dyDescent="0.2">
      <c r="A86" s="6" t="s">
        <v>201</v>
      </c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6">
        <f t="shared" ref="W86:AG86" si="27">+W85/W88</f>
        <v>6.2284280675822083E-2</v>
      </c>
      <c r="X86" s="6">
        <f t="shared" si="27"/>
        <v>7.111455347807967E-2</v>
      </c>
      <c r="Y86" s="6">
        <f t="shared" si="27"/>
        <v>6.9242129304065037E-2</v>
      </c>
      <c r="Z86" s="6">
        <f t="shared" si="27"/>
        <v>7.9657326931673544E-2</v>
      </c>
      <c r="AA86" s="6">
        <f t="shared" si="27"/>
        <v>8.8527737440363644E-2</v>
      </c>
      <c r="AB86" s="6">
        <f t="shared" si="27"/>
        <v>9.2174755551392679E-2</v>
      </c>
      <c r="AC86" s="6">
        <f t="shared" si="27"/>
        <v>8.5544528479409424E-2</v>
      </c>
      <c r="AD86" s="6">
        <f t="shared" si="27"/>
        <v>0.10427456093182026</v>
      </c>
      <c r="AE86" s="6">
        <f t="shared" si="27"/>
        <v>0.10503695527471156</v>
      </c>
      <c r="AF86" s="6">
        <f t="shared" si="27"/>
        <v>9.4026053576356045E-2</v>
      </c>
      <c r="AG86" s="6">
        <f t="shared" si="27"/>
        <v>9.3272280934182369E-2</v>
      </c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</row>
    <row r="87" spans="1:145" s="6" customFormat="1" x14ac:dyDescent="0.2"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</row>
    <row r="88" spans="1:145" s="9" customFormat="1" x14ac:dyDescent="0.2">
      <c r="A88" s="8" t="s">
        <v>9</v>
      </c>
      <c r="B88" s="9">
        <v>651.96199999999999</v>
      </c>
      <c r="C88" s="9">
        <v>902.94200000000001</v>
      </c>
      <c r="D88" s="9">
        <v>1117.4259999999999</v>
      </c>
      <c r="E88" s="9">
        <f>+AD88-SUM(B88:D88)</f>
        <v>1729.549</v>
      </c>
      <c r="F88" s="9">
        <v>1226.4649999999999</v>
      </c>
      <c r="G88" s="9">
        <v>1450.6179999999999</v>
      </c>
      <c r="H88" s="9">
        <v>1450.421</v>
      </c>
      <c r="I88" s="9">
        <v>2129.1129999999998</v>
      </c>
      <c r="J88" s="9">
        <v>1613.463</v>
      </c>
      <c r="K88" s="9">
        <v>1868.328</v>
      </c>
      <c r="L88" s="9">
        <v>1856.8889999999999</v>
      </c>
      <c r="M88" s="9">
        <f>+AF88-SUM(J88:L88)</f>
        <v>2771.8379999999997</v>
      </c>
      <c r="N88" s="9">
        <v>2000.7919999999999</v>
      </c>
      <c r="O88" s="9">
        <v>2209.165</v>
      </c>
      <c r="P88" s="9">
        <v>2204.2179999999998</v>
      </c>
      <c r="Q88" s="9">
        <f>+AG88-SUM(N88:P88)</f>
        <v>3205.1030000000001</v>
      </c>
      <c r="R88" s="9">
        <v>2208.8910000000001</v>
      </c>
      <c r="S88" s="9">
        <v>2420</v>
      </c>
      <c r="W88" s="9">
        <v>1591.1880000000001</v>
      </c>
      <c r="X88" s="9">
        <v>1797.213</v>
      </c>
      <c r="Y88" s="9">
        <v>2060.5230000000001</v>
      </c>
      <c r="Z88" s="9">
        <v>2344.3919999999998</v>
      </c>
      <c r="AA88" s="9">
        <v>2649.181</v>
      </c>
      <c r="AB88" s="9">
        <v>3288.319</v>
      </c>
      <c r="AC88" s="9">
        <v>3979.2959999999998</v>
      </c>
      <c r="AD88" s="9">
        <v>4401.8789999999999</v>
      </c>
      <c r="AE88" s="9">
        <v>6256.6170000000002</v>
      </c>
      <c r="AF88" s="9">
        <v>8110.518</v>
      </c>
      <c r="AG88" s="9">
        <v>9619.2780000000002</v>
      </c>
      <c r="AH88" s="9">
        <v>10700</v>
      </c>
      <c r="AI88" s="9">
        <f>+AH88*1.1</f>
        <v>11770.000000000002</v>
      </c>
      <c r="AJ88" s="9">
        <f>+AI88*1.1</f>
        <v>12947.000000000004</v>
      </c>
      <c r="AK88" s="9">
        <f>+AJ88*1.1</f>
        <v>14241.700000000004</v>
      </c>
      <c r="AL88" s="9">
        <f t="shared" ref="AL88:AW88" si="28">+AK88*1.1</f>
        <v>15665.870000000006</v>
      </c>
      <c r="AM88" s="9">
        <f t="shared" si="28"/>
        <v>17232.457000000009</v>
      </c>
      <c r="AN88" s="9">
        <f t="shared" si="28"/>
        <v>18955.702700000013</v>
      </c>
      <c r="AO88" s="9">
        <f t="shared" si="28"/>
        <v>20851.272970000016</v>
      </c>
      <c r="AP88" s="9">
        <f t="shared" si="28"/>
        <v>22936.400267000019</v>
      </c>
      <c r="AQ88" s="9">
        <f t="shared" si="28"/>
        <v>25230.040293700022</v>
      </c>
      <c r="AR88" s="9">
        <f t="shared" si="28"/>
        <v>27753.044323070026</v>
      </c>
      <c r="AS88" s="9">
        <f t="shared" si="28"/>
        <v>30528.348755377032</v>
      </c>
      <c r="AT88" s="9">
        <f t="shared" si="28"/>
        <v>33581.18363091474</v>
      </c>
      <c r="AU88" s="9">
        <f t="shared" si="28"/>
        <v>36939.301994006215</v>
      </c>
      <c r="AV88" s="9">
        <f t="shared" si="28"/>
        <v>40633.232193406839</v>
      </c>
      <c r="AW88" s="9">
        <f t="shared" si="28"/>
        <v>44696.555412747526</v>
      </c>
    </row>
    <row r="89" spans="1:145" x14ac:dyDescent="0.2">
      <c r="A89" t="s">
        <v>10</v>
      </c>
      <c r="B89" s="2">
        <v>317.56</v>
      </c>
      <c r="C89" s="2">
        <v>413.44099999999997</v>
      </c>
      <c r="D89" s="2">
        <v>490.072</v>
      </c>
      <c r="E89" s="2">
        <f>+AD89-SUM(B89:D89)</f>
        <v>716.81500000000005</v>
      </c>
      <c r="F89" s="2">
        <v>526.15099999999995</v>
      </c>
      <c r="G89" s="2">
        <v>607.93200000000002</v>
      </c>
      <c r="H89" s="2">
        <v>621.02800000000002</v>
      </c>
      <c r="I89" s="2">
        <v>892.94100000000003</v>
      </c>
      <c r="J89" s="2">
        <v>743.07</v>
      </c>
      <c r="K89" s="2">
        <v>812.85199999999998</v>
      </c>
      <c r="L89" s="2">
        <v>818.03700000000003</v>
      </c>
      <c r="M89" s="2">
        <v>1244.2190000000001</v>
      </c>
      <c r="N89" s="2">
        <v>849.98699999999997</v>
      </c>
      <c r="O89" s="2">
        <v>910.654</v>
      </c>
      <c r="P89" s="2">
        <v>947.55399999999997</v>
      </c>
      <c r="Q89" s="2">
        <v>1301.6780000000001</v>
      </c>
      <c r="R89" s="2">
        <v>933.82299999999998</v>
      </c>
      <c r="W89" s="2">
        <v>751.11199999999997</v>
      </c>
      <c r="X89" s="2">
        <v>883.03300000000002</v>
      </c>
      <c r="Y89" s="2">
        <v>1063.357</v>
      </c>
      <c r="Z89" s="2">
        <v>1144.7750000000001</v>
      </c>
      <c r="AA89" s="2">
        <v>1250.3910000000001</v>
      </c>
      <c r="AB89" s="2">
        <v>1472.0319999999999</v>
      </c>
      <c r="AC89" s="2">
        <v>1755.91</v>
      </c>
      <c r="AD89" s="2">
        <v>1937.8879999999999</v>
      </c>
      <c r="AE89" s="2">
        <v>2648.0520000000001</v>
      </c>
      <c r="AF89" s="2">
        <v>3618.1779999999999</v>
      </c>
      <c r="AG89" s="2">
        <v>4009.873</v>
      </c>
      <c r="AH89" s="2">
        <f>+AG89*1.09</f>
        <v>4370.7615700000006</v>
      </c>
      <c r="AI89" s="2">
        <f t="shared" ref="AI89:AW89" si="29">+AH89*1.09</f>
        <v>4764.1301113000009</v>
      </c>
      <c r="AJ89" s="2">
        <f t="shared" si="29"/>
        <v>5192.9018213170011</v>
      </c>
      <c r="AK89" s="2">
        <f t="shared" si="29"/>
        <v>5660.2629852355312</v>
      </c>
      <c r="AL89" s="2">
        <f t="shared" si="29"/>
        <v>6169.6866539067296</v>
      </c>
      <c r="AM89" s="2">
        <f t="shared" si="29"/>
        <v>6724.9584527583356</v>
      </c>
      <c r="AN89" s="2">
        <f t="shared" si="29"/>
        <v>7330.2047135065868</v>
      </c>
      <c r="AO89" s="2">
        <f t="shared" si="29"/>
        <v>7989.9231377221804</v>
      </c>
      <c r="AP89" s="2">
        <f t="shared" si="29"/>
        <v>8709.016220117177</v>
      </c>
      <c r="AQ89" s="2">
        <f t="shared" si="29"/>
        <v>9492.8276799277228</v>
      </c>
      <c r="AR89" s="2">
        <f t="shared" si="29"/>
        <v>10347.182171121218</v>
      </c>
      <c r="AS89" s="2">
        <f t="shared" si="29"/>
        <v>11278.428566522129</v>
      </c>
      <c r="AT89" s="2">
        <f t="shared" si="29"/>
        <v>12293.487137509121</v>
      </c>
      <c r="AU89" s="2">
        <f t="shared" si="29"/>
        <v>13399.900979884942</v>
      </c>
      <c r="AV89" s="2">
        <f t="shared" si="29"/>
        <v>14605.892068074589</v>
      </c>
      <c r="AW89" s="2">
        <f t="shared" si="29"/>
        <v>15920.422354201302</v>
      </c>
    </row>
    <row r="90" spans="1:145" x14ac:dyDescent="0.2">
      <c r="A90" t="s">
        <v>11</v>
      </c>
      <c r="B90" s="2">
        <f t="shared" ref="B90:Q90" si="30">+B88-B89</f>
        <v>334.40199999999999</v>
      </c>
      <c r="C90" s="2">
        <f t="shared" si="30"/>
        <v>489.50100000000003</v>
      </c>
      <c r="D90" s="2">
        <f t="shared" si="30"/>
        <v>627.35399999999993</v>
      </c>
      <c r="E90" s="2">
        <f t="shared" si="30"/>
        <v>1012.7339999999999</v>
      </c>
      <c r="F90" s="2">
        <f t="shared" si="30"/>
        <v>700.31399999999996</v>
      </c>
      <c r="G90" s="2">
        <f t="shared" si="30"/>
        <v>842.68599999999992</v>
      </c>
      <c r="H90" s="2">
        <f t="shared" si="30"/>
        <v>829.39300000000003</v>
      </c>
      <c r="I90" s="2">
        <f t="shared" si="30"/>
        <v>1236.1719999999998</v>
      </c>
      <c r="J90" s="2">
        <f t="shared" si="30"/>
        <v>870.39299999999992</v>
      </c>
      <c r="K90" s="2">
        <f t="shared" si="30"/>
        <v>1055.4760000000001</v>
      </c>
      <c r="L90" s="2">
        <f t="shared" si="30"/>
        <v>1038.8519999999999</v>
      </c>
      <c r="M90" s="2">
        <f t="shared" si="30"/>
        <v>1527.6189999999997</v>
      </c>
      <c r="N90" s="2">
        <f t="shared" si="30"/>
        <v>1150.8049999999998</v>
      </c>
      <c r="O90" s="2">
        <f t="shared" si="30"/>
        <v>1298.511</v>
      </c>
      <c r="P90" s="2">
        <f t="shared" si="30"/>
        <v>1256.6639999999998</v>
      </c>
      <c r="Q90" s="2">
        <f t="shared" si="30"/>
        <v>1903.425</v>
      </c>
      <c r="R90" s="2">
        <f t="shared" ref="R90" si="31">+R88-R89</f>
        <v>1275.0680000000002</v>
      </c>
      <c r="W90" s="2">
        <f t="shared" ref="W90:AR90" si="32">+W88-W89</f>
        <v>840.07600000000014</v>
      </c>
      <c r="X90" s="2">
        <f t="shared" si="32"/>
        <v>914.18</v>
      </c>
      <c r="Y90" s="2">
        <f t="shared" si="32"/>
        <v>997.16600000000017</v>
      </c>
      <c r="Z90" s="2">
        <f t="shared" si="32"/>
        <v>1199.6169999999997</v>
      </c>
      <c r="AA90" s="2">
        <f t="shared" si="32"/>
        <v>1398.79</v>
      </c>
      <c r="AB90" s="2">
        <f t="shared" si="32"/>
        <v>1816.287</v>
      </c>
      <c r="AC90" s="2">
        <f t="shared" si="32"/>
        <v>2223.3859999999995</v>
      </c>
      <c r="AD90" s="2">
        <f t="shared" si="32"/>
        <v>2463.991</v>
      </c>
      <c r="AE90" s="2">
        <f t="shared" si="32"/>
        <v>3608.5650000000001</v>
      </c>
      <c r="AF90" s="2">
        <f t="shared" si="32"/>
        <v>4492.34</v>
      </c>
      <c r="AG90" s="2">
        <f t="shared" si="32"/>
        <v>5609.4050000000007</v>
      </c>
      <c r="AH90" s="2">
        <f t="shared" si="32"/>
        <v>6329.2384299999994</v>
      </c>
      <c r="AI90" s="2">
        <f t="shared" si="32"/>
        <v>7005.869888700001</v>
      </c>
      <c r="AJ90" s="2">
        <f t="shared" si="32"/>
        <v>7754.0981786830025</v>
      </c>
      <c r="AK90" s="2">
        <f t="shared" si="32"/>
        <v>8581.4370147644731</v>
      </c>
      <c r="AL90" s="2">
        <f t="shared" si="32"/>
        <v>9496.1833460932758</v>
      </c>
      <c r="AM90" s="2">
        <f t="shared" si="32"/>
        <v>10507.498547241674</v>
      </c>
      <c r="AN90" s="2">
        <f t="shared" si="32"/>
        <v>11625.497986493425</v>
      </c>
      <c r="AO90" s="2">
        <f t="shared" si="32"/>
        <v>12861.349832277836</v>
      </c>
      <c r="AP90" s="2">
        <f t="shared" si="32"/>
        <v>14227.384046882842</v>
      </c>
      <c r="AQ90" s="2">
        <f t="shared" si="32"/>
        <v>15737.212613772299</v>
      </c>
      <c r="AR90" s="2">
        <f t="shared" si="32"/>
        <v>17405.862151948808</v>
      </c>
      <c r="AS90" s="2">
        <f t="shared" ref="AS90:AW90" si="33">+AS88-AS89</f>
        <v>19249.920188854903</v>
      </c>
      <c r="AT90" s="2">
        <f t="shared" si="33"/>
        <v>21287.69649340562</v>
      </c>
      <c r="AU90" s="2">
        <f t="shared" si="33"/>
        <v>23539.401014121271</v>
      </c>
      <c r="AV90" s="2">
        <f t="shared" si="33"/>
        <v>26027.340125332252</v>
      </c>
      <c r="AW90" s="2">
        <f t="shared" si="33"/>
        <v>28776.133058546224</v>
      </c>
    </row>
    <row r="91" spans="1:145" x14ac:dyDescent="0.2">
      <c r="A91" t="s">
        <v>12</v>
      </c>
      <c r="B91" s="2">
        <v>299.58300000000003</v>
      </c>
      <c r="C91" s="2">
        <v>352.88099999999997</v>
      </c>
      <c r="D91" s="2">
        <v>411.70800000000003</v>
      </c>
      <c r="E91" s="2">
        <f>+AD91-SUM(B91:D91)</f>
        <v>544.8309999999999</v>
      </c>
      <c r="F91" s="2">
        <v>496.63400000000001</v>
      </c>
      <c r="G91" s="2">
        <v>541.31700000000001</v>
      </c>
      <c r="H91" s="2">
        <v>545.12400000000002</v>
      </c>
      <c r="I91" s="2">
        <v>641.95899999999995</v>
      </c>
      <c r="J91" s="2">
        <v>607.851</v>
      </c>
      <c r="K91" s="2">
        <v>662.25300000000004</v>
      </c>
      <c r="L91" s="2">
        <v>684.23599999999999</v>
      </c>
      <c r="M91" s="2">
        <v>803.10699999999997</v>
      </c>
      <c r="N91" s="2">
        <v>747.51300000000003</v>
      </c>
      <c r="O91" s="2">
        <v>817.375</v>
      </c>
      <c r="P91" s="2">
        <v>842.79499999999996</v>
      </c>
      <c r="Q91" s="2">
        <v>989.53499999999997</v>
      </c>
      <c r="R91" s="2">
        <v>842.42600000000004</v>
      </c>
      <c r="W91" s="2">
        <v>448.71800000000002</v>
      </c>
      <c r="X91" s="2">
        <v>538.14700000000005</v>
      </c>
      <c r="Y91" s="2">
        <v>628.09</v>
      </c>
      <c r="Z91" s="2">
        <v>778.46500000000003</v>
      </c>
      <c r="AA91" s="2">
        <v>904.26400000000001</v>
      </c>
      <c r="AB91" s="2">
        <v>1110.451</v>
      </c>
      <c r="AC91" s="2">
        <v>1334.2470000000001</v>
      </c>
      <c r="AD91" s="2">
        <v>1609.0029999999999</v>
      </c>
      <c r="AE91" s="2">
        <v>2225.0340000000001</v>
      </c>
      <c r="AF91" s="2">
        <v>2757.4470000000001</v>
      </c>
      <c r="AG91" s="2">
        <v>3397.2179999999998</v>
      </c>
      <c r="AH91" s="2">
        <f>+AG91*1.09</f>
        <v>3702.9676199999999</v>
      </c>
      <c r="AI91" s="2">
        <f t="shared" ref="AI91:AW91" si="34">+AH91*1.09</f>
        <v>4036.2347058</v>
      </c>
      <c r="AJ91" s="2">
        <f t="shared" si="34"/>
        <v>4399.4958293220006</v>
      </c>
      <c r="AK91" s="2">
        <f t="shared" si="34"/>
        <v>4795.4504539609807</v>
      </c>
      <c r="AL91" s="2">
        <f t="shared" si="34"/>
        <v>5227.0409948174693</v>
      </c>
      <c r="AM91" s="2">
        <f t="shared" si="34"/>
        <v>5697.474684351042</v>
      </c>
      <c r="AN91" s="2">
        <f t="shared" si="34"/>
        <v>6210.2474059426359</v>
      </c>
      <c r="AO91" s="2">
        <f t="shared" si="34"/>
        <v>6769.1696724774738</v>
      </c>
      <c r="AP91" s="2">
        <f t="shared" si="34"/>
        <v>7378.3949430004468</v>
      </c>
      <c r="AQ91" s="2">
        <f t="shared" si="34"/>
        <v>8042.4504878704874</v>
      </c>
      <c r="AR91" s="2">
        <f t="shared" si="34"/>
        <v>8766.2710317788315</v>
      </c>
      <c r="AS91" s="2">
        <f t="shared" si="34"/>
        <v>9555.2354246389277</v>
      </c>
      <c r="AT91" s="2">
        <f t="shared" si="34"/>
        <v>10415.206612856431</v>
      </c>
      <c r="AU91" s="2">
        <f t="shared" si="34"/>
        <v>11352.57520801351</v>
      </c>
      <c r="AV91" s="2">
        <f t="shared" si="34"/>
        <v>12374.306976734726</v>
      </c>
      <c r="AW91" s="2">
        <f t="shared" si="34"/>
        <v>13487.994604640853</v>
      </c>
    </row>
    <row r="92" spans="1:145" s="9" customFormat="1" x14ac:dyDescent="0.2">
      <c r="A92" s="8" t="s">
        <v>13</v>
      </c>
      <c r="B92" s="9">
        <f>+B90-B91</f>
        <v>34.81899999999996</v>
      </c>
      <c r="C92" s="9">
        <f t="shared" ref="C92:Q92" si="35">+C90-C91</f>
        <v>136.62000000000006</v>
      </c>
      <c r="D92" s="9">
        <f t="shared" si="35"/>
        <v>215.6459999999999</v>
      </c>
      <c r="E92" s="9">
        <f t="shared" si="35"/>
        <v>467.90300000000002</v>
      </c>
      <c r="F92" s="9">
        <f t="shared" si="35"/>
        <v>203.67999999999995</v>
      </c>
      <c r="G92" s="9">
        <f t="shared" si="35"/>
        <v>301.36899999999991</v>
      </c>
      <c r="H92" s="9">
        <f t="shared" si="35"/>
        <v>284.26900000000001</v>
      </c>
      <c r="I92" s="9">
        <f t="shared" si="35"/>
        <v>594.21299999999985</v>
      </c>
      <c r="J92" s="9">
        <f t="shared" si="35"/>
        <v>262.54199999999992</v>
      </c>
      <c r="K92" s="9">
        <f t="shared" si="35"/>
        <v>393.22300000000007</v>
      </c>
      <c r="L92" s="9">
        <f t="shared" si="35"/>
        <v>354.61599999999987</v>
      </c>
      <c r="M92" s="9">
        <f t="shared" si="35"/>
        <v>724.51199999999972</v>
      </c>
      <c r="N92" s="9">
        <f t="shared" si="35"/>
        <v>403.2919999999998</v>
      </c>
      <c r="O92" s="9">
        <f t="shared" si="35"/>
        <v>481.13599999999997</v>
      </c>
      <c r="P92" s="9">
        <f t="shared" si="35"/>
        <v>413.8689999999998</v>
      </c>
      <c r="Q92" s="9">
        <f t="shared" si="35"/>
        <v>913.89</v>
      </c>
      <c r="R92" s="9">
        <f t="shared" ref="R92" si="36">+R90-R91</f>
        <v>432.64200000000017</v>
      </c>
      <c r="W92" s="9">
        <f t="shared" ref="W92:AC92" si="37">+W90-W91</f>
        <v>391.35800000000012</v>
      </c>
      <c r="X92" s="9">
        <f t="shared" si="37"/>
        <v>376.0329999999999</v>
      </c>
      <c r="Y92" s="9">
        <f t="shared" si="37"/>
        <v>369.07600000000014</v>
      </c>
      <c r="Z92" s="9">
        <f t="shared" si="37"/>
        <v>421.1519999999997</v>
      </c>
      <c r="AA92" s="9">
        <f t="shared" si="37"/>
        <v>494.52599999999995</v>
      </c>
      <c r="AB92" s="9">
        <f t="shared" si="37"/>
        <v>705.83600000000001</v>
      </c>
      <c r="AC92" s="9">
        <f t="shared" si="37"/>
        <v>889.13899999999944</v>
      </c>
      <c r="AD92" s="9">
        <f t="shared" ref="AD92:AR92" si="38">+AD90-AD91</f>
        <v>854.98800000000006</v>
      </c>
      <c r="AE92" s="9">
        <f t="shared" si="38"/>
        <v>1383.5309999999999</v>
      </c>
      <c r="AF92" s="9">
        <f t="shared" si="38"/>
        <v>1734.893</v>
      </c>
      <c r="AG92" s="9">
        <f t="shared" si="38"/>
        <v>2212.1870000000008</v>
      </c>
      <c r="AH92" s="9">
        <f t="shared" si="38"/>
        <v>2626.2708099999995</v>
      </c>
      <c r="AI92" s="9">
        <f t="shared" si="38"/>
        <v>2969.6351829000009</v>
      </c>
      <c r="AJ92" s="9">
        <f t="shared" si="38"/>
        <v>3354.6023493610019</v>
      </c>
      <c r="AK92" s="9">
        <f t="shared" si="38"/>
        <v>3785.9865608034925</v>
      </c>
      <c r="AL92" s="9">
        <f t="shared" si="38"/>
        <v>4269.1423512758065</v>
      </c>
      <c r="AM92" s="9">
        <f t="shared" si="38"/>
        <v>4810.0238628906318</v>
      </c>
      <c r="AN92" s="9">
        <f t="shared" si="38"/>
        <v>5415.250580550789</v>
      </c>
      <c r="AO92" s="9">
        <f t="shared" si="38"/>
        <v>6092.1801598003622</v>
      </c>
      <c r="AP92" s="9">
        <f t="shared" si="38"/>
        <v>6848.9891038823953</v>
      </c>
      <c r="AQ92" s="9">
        <f t="shared" si="38"/>
        <v>7694.7621259018115</v>
      </c>
      <c r="AR92" s="9">
        <f t="shared" si="38"/>
        <v>8639.5911201699764</v>
      </c>
      <c r="AS92" s="9">
        <f t="shared" ref="AS92:AW92" si="39">+AS90-AS91</f>
        <v>9694.6847642159755</v>
      </c>
      <c r="AT92" s="9">
        <f t="shared" si="39"/>
        <v>10872.489880549188</v>
      </c>
      <c r="AU92" s="9">
        <f t="shared" si="39"/>
        <v>12186.825806107761</v>
      </c>
      <c r="AV92" s="9">
        <f t="shared" si="39"/>
        <v>13653.033148597526</v>
      </c>
      <c r="AW92" s="9">
        <f t="shared" si="39"/>
        <v>15288.138453905371</v>
      </c>
    </row>
    <row r="93" spans="1:145" x14ac:dyDescent="0.2">
      <c r="A93" t="s">
        <v>14</v>
      </c>
      <c r="B93" s="2">
        <v>1.1739999999999999</v>
      </c>
      <c r="C93" s="2">
        <v>-0.34399999999999997</v>
      </c>
      <c r="D93" s="2">
        <v>-0.57999999999999996</v>
      </c>
      <c r="E93" s="2">
        <f>+AD93-SUM(B93:D93)</f>
        <v>-0.88600000000000001</v>
      </c>
      <c r="F93" s="2">
        <v>0.22700000000000001</v>
      </c>
      <c r="G93" s="2">
        <v>9.6000000000000002E-2</v>
      </c>
      <c r="H93" s="2">
        <v>1.4999999999999999E-2</v>
      </c>
      <c r="I93" s="2">
        <v>0.17599999999999999</v>
      </c>
      <c r="J93" s="2">
        <v>-2.1999999999999999E-2</v>
      </c>
      <c r="K93" s="2">
        <v>0.14499999999999999</v>
      </c>
      <c r="L93" s="2">
        <v>0.33100000000000002</v>
      </c>
      <c r="M93" s="2">
        <v>3.7090000000000001</v>
      </c>
      <c r="N93" s="2">
        <v>8.0250000000000004</v>
      </c>
      <c r="O93" s="2">
        <v>7.3620000000000001</v>
      </c>
      <c r="P93" s="2">
        <v>9.8420000000000005</v>
      </c>
      <c r="Q93" s="2">
        <v>17.829999999999998</v>
      </c>
      <c r="R93" s="2">
        <v>23.283000000000001</v>
      </c>
      <c r="W93" s="2">
        <v>5.7679999999999998</v>
      </c>
      <c r="X93" s="2">
        <v>7.1020000000000003</v>
      </c>
      <c r="Y93" s="2">
        <v>-0.58099999999999996</v>
      </c>
      <c r="Z93" s="2">
        <v>1.577</v>
      </c>
      <c r="AA93" s="2">
        <v>3.9969999999999999</v>
      </c>
      <c r="AB93" s="2">
        <v>9.4139999999999997</v>
      </c>
      <c r="AC93" s="2">
        <v>8.2829999999999995</v>
      </c>
      <c r="AD93" s="2">
        <v>-0.63600000000000001</v>
      </c>
      <c r="AE93" s="2">
        <v>0.51400000000000001</v>
      </c>
      <c r="AF93" s="2">
        <v>4.1630000000000003</v>
      </c>
      <c r="AG93" s="2">
        <v>43.058999999999997</v>
      </c>
      <c r="AH93" s="2">
        <f>+AG108*$BA$100</f>
        <v>22.439710000000002</v>
      </c>
      <c r="AI93" s="2">
        <f t="shared" ref="AI93:AW93" si="40">+AH108*$BA$100</f>
        <v>40.980683639999995</v>
      </c>
      <c r="AJ93" s="2">
        <f t="shared" si="40"/>
        <v>62.054994705780011</v>
      </c>
      <c r="AK93" s="2">
        <f t="shared" si="40"/>
        <v>85.971596114247475</v>
      </c>
      <c r="AL93" s="2">
        <f t="shared" si="40"/>
        <v>113.07530321267166</v>
      </c>
      <c r="AM93" s="2">
        <f t="shared" si="40"/>
        <v>143.75082679409101</v>
      </c>
      <c r="AN93" s="2">
        <f t="shared" si="40"/>
        <v>178.42724962188407</v>
      </c>
      <c r="AO93" s="2">
        <f t="shared" si="40"/>
        <v>217.58299443309281</v>
      </c>
      <c r="AP93" s="2">
        <f t="shared" si="40"/>
        <v>261.75133651272699</v>
      </c>
      <c r="AQ93" s="2">
        <f t="shared" si="40"/>
        <v>311.52651959549286</v>
      </c>
      <c r="AR93" s="2">
        <f t="shared" si="40"/>
        <v>367.570540113974</v>
      </c>
      <c r="AS93" s="2">
        <f t="shared" si="40"/>
        <v>430.62067173596165</v>
      </c>
      <c r="AT93" s="2">
        <f t="shared" si="40"/>
        <v>501.49780978762521</v>
      </c>
      <c r="AU93" s="2">
        <f t="shared" si="40"/>
        <v>581.11572361998287</v>
      </c>
      <c r="AV93" s="2">
        <f t="shared" si="40"/>
        <v>670.49131432807712</v>
      </c>
      <c r="AW93" s="2">
        <f t="shared" si="40"/>
        <v>770.75598556855641</v>
      </c>
    </row>
    <row r="94" spans="1:145" x14ac:dyDescent="0.2">
      <c r="A94" t="s">
        <v>15</v>
      </c>
      <c r="B94" s="2">
        <f t="shared" ref="B94:Q94" si="41">+B92+B93</f>
        <v>35.992999999999959</v>
      </c>
      <c r="C94" s="2">
        <f t="shared" si="41"/>
        <v>136.27600000000007</v>
      </c>
      <c r="D94" s="2">
        <f t="shared" si="41"/>
        <v>215.06599999999989</v>
      </c>
      <c r="E94" s="2">
        <f t="shared" si="41"/>
        <v>467.017</v>
      </c>
      <c r="F94" s="2">
        <f t="shared" si="41"/>
        <v>203.90699999999995</v>
      </c>
      <c r="G94" s="2">
        <f t="shared" si="41"/>
        <v>301.46499999999992</v>
      </c>
      <c r="H94" s="2">
        <f t="shared" si="41"/>
        <v>284.28399999999999</v>
      </c>
      <c r="I94" s="2">
        <f t="shared" si="41"/>
        <v>594.3889999999999</v>
      </c>
      <c r="J94" s="2">
        <f t="shared" si="41"/>
        <v>262.51999999999992</v>
      </c>
      <c r="K94" s="2">
        <f t="shared" si="41"/>
        <v>393.36800000000005</v>
      </c>
      <c r="L94" s="2">
        <f t="shared" si="41"/>
        <v>354.94699999999989</v>
      </c>
      <c r="M94" s="2">
        <f t="shared" si="41"/>
        <v>728.22099999999966</v>
      </c>
      <c r="N94" s="2">
        <f t="shared" si="41"/>
        <v>411.31699999999978</v>
      </c>
      <c r="O94" s="2">
        <f t="shared" si="41"/>
        <v>488.49799999999999</v>
      </c>
      <c r="P94" s="2">
        <f t="shared" si="41"/>
        <v>423.71099999999979</v>
      </c>
      <c r="Q94" s="2">
        <f t="shared" si="41"/>
        <v>931.72</v>
      </c>
      <c r="R94" s="2">
        <f t="shared" ref="R94" si="42">+R92+R93</f>
        <v>455.92500000000018</v>
      </c>
      <c r="W94" s="2">
        <f t="shared" ref="W94:AQ94" si="43">+W92+W93</f>
        <v>397.12600000000009</v>
      </c>
      <c r="X94" s="2">
        <f t="shared" si="43"/>
        <v>383.13499999999988</v>
      </c>
      <c r="Y94" s="2">
        <f t="shared" si="43"/>
        <v>368.49500000000012</v>
      </c>
      <c r="Z94" s="2">
        <f t="shared" si="43"/>
        <v>422.7289999999997</v>
      </c>
      <c r="AA94" s="2">
        <f t="shared" si="43"/>
        <v>498.52299999999997</v>
      </c>
      <c r="AB94" s="2">
        <f t="shared" si="43"/>
        <v>715.25</v>
      </c>
      <c r="AC94" s="2">
        <f t="shared" si="43"/>
        <v>897.42199999999946</v>
      </c>
      <c r="AD94" s="2">
        <f t="shared" si="43"/>
        <v>854.35200000000009</v>
      </c>
      <c r="AE94" s="2">
        <f t="shared" si="43"/>
        <v>1384.0449999999998</v>
      </c>
      <c r="AF94" s="2">
        <f t="shared" si="43"/>
        <v>1739.056</v>
      </c>
      <c r="AG94" s="2">
        <f t="shared" si="43"/>
        <v>2255.246000000001</v>
      </c>
      <c r="AH94" s="2">
        <f t="shared" si="43"/>
        <v>2648.7105199999996</v>
      </c>
      <c r="AI94" s="2">
        <f t="shared" si="43"/>
        <v>3010.6158665400008</v>
      </c>
      <c r="AJ94" s="2">
        <f t="shared" si="43"/>
        <v>3416.6573440667817</v>
      </c>
      <c r="AK94" s="2">
        <f t="shared" si="43"/>
        <v>3871.9581569177399</v>
      </c>
      <c r="AL94" s="2">
        <f t="shared" si="43"/>
        <v>4382.2176544884778</v>
      </c>
      <c r="AM94" s="2">
        <f t="shared" si="43"/>
        <v>4953.7746896847229</v>
      </c>
      <c r="AN94" s="2">
        <f t="shared" si="43"/>
        <v>5593.6778301726727</v>
      </c>
      <c r="AO94" s="2">
        <f t="shared" si="43"/>
        <v>6309.7631542334548</v>
      </c>
      <c r="AP94" s="2">
        <f t="shared" si="43"/>
        <v>7110.7404403951223</v>
      </c>
      <c r="AQ94" s="2">
        <f t="shared" si="43"/>
        <v>8006.2886454973041</v>
      </c>
      <c r="AR94" s="2">
        <f>+AR92+AR93</f>
        <v>9007.1616602839513</v>
      </c>
      <c r="AS94" s="2">
        <f t="shared" ref="AS94:AW94" si="44">+AS92+AS93</f>
        <v>10125.305435951937</v>
      </c>
      <c r="AT94" s="2">
        <f t="shared" si="44"/>
        <v>11373.987690336813</v>
      </c>
      <c r="AU94" s="2">
        <f t="shared" si="44"/>
        <v>12767.941529727745</v>
      </c>
      <c r="AV94" s="2">
        <f t="shared" si="44"/>
        <v>14323.524462925603</v>
      </c>
      <c r="AW94" s="2">
        <f t="shared" si="44"/>
        <v>16058.894439473926</v>
      </c>
    </row>
    <row r="95" spans="1:145" x14ac:dyDescent="0.2">
      <c r="A95" t="s">
        <v>16</v>
      </c>
      <c r="B95" s="2">
        <v>5.2930000000000001</v>
      </c>
      <c r="C95" s="2">
        <v>37.264000000000003</v>
      </c>
      <c r="D95" s="2">
        <v>60.697000000000003</v>
      </c>
      <c r="E95" s="2">
        <v>127.181</v>
      </c>
      <c r="F95" s="2">
        <v>49.091999999999999</v>
      </c>
      <c r="G95" s="2">
        <v>83.052999999999997</v>
      </c>
      <c r="H95" s="2">
        <v>70.174000000000007</v>
      </c>
      <c r="I95" s="2">
        <v>156.22800000000001</v>
      </c>
      <c r="J95" s="2">
        <v>70.326999999999998</v>
      </c>
      <c r="K95" s="2">
        <v>111.83199999999999</v>
      </c>
      <c r="L95" s="2">
        <v>97.287999999999997</v>
      </c>
      <c r="M95" s="2">
        <v>198.32400000000001</v>
      </c>
      <c r="N95" s="2">
        <v>119.03400000000001</v>
      </c>
      <c r="O95" s="2">
        <v>145.01599999999999</v>
      </c>
      <c r="P95" s="2">
        <v>99.242999999999995</v>
      </c>
      <c r="Q95" s="2">
        <v>262.25200000000001</v>
      </c>
      <c r="R95" s="2">
        <v>134.50399999999999</v>
      </c>
      <c r="W95" s="2">
        <v>117.57899999999999</v>
      </c>
      <c r="X95" s="2">
        <v>144.102</v>
      </c>
      <c r="Y95" s="2">
        <v>102.44799999999999</v>
      </c>
      <c r="Z95" s="2">
        <v>119.348</v>
      </c>
      <c r="AA95" s="2">
        <v>201.33600000000001</v>
      </c>
      <c r="AB95" s="2">
        <v>231.44900000000001</v>
      </c>
      <c r="AC95" s="2">
        <v>251.797</v>
      </c>
      <c r="AD95" s="2">
        <v>230.43700000000001</v>
      </c>
      <c r="AE95" s="2">
        <v>358.54700000000003</v>
      </c>
      <c r="AF95" s="2">
        <v>477.77100000000002</v>
      </c>
      <c r="AG95" s="2">
        <v>625.54499999999996</v>
      </c>
      <c r="AH95" s="2">
        <f>+AH94*0.3</f>
        <v>794.61315599999989</v>
      </c>
      <c r="AI95" s="2">
        <f t="shared" ref="AI95:AW95" si="45">+AI94*0.3</f>
        <v>903.18475996200016</v>
      </c>
      <c r="AJ95" s="2">
        <f t="shared" si="45"/>
        <v>1024.9972032200344</v>
      </c>
      <c r="AK95" s="2">
        <f t="shared" si="45"/>
        <v>1161.587447075322</v>
      </c>
      <c r="AL95" s="2">
        <f t="shared" si="45"/>
        <v>1314.6652963465433</v>
      </c>
      <c r="AM95" s="2">
        <f t="shared" si="45"/>
        <v>1486.1324069054169</v>
      </c>
      <c r="AN95" s="2">
        <f t="shared" si="45"/>
        <v>1678.1033490518018</v>
      </c>
      <c r="AO95" s="2">
        <f t="shared" si="45"/>
        <v>1892.9289462700362</v>
      </c>
      <c r="AP95" s="2">
        <f t="shared" si="45"/>
        <v>2133.2221321185366</v>
      </c>
      <c r="AQ95" s="2">
        <f t="shared" si="45"/>
        <v>2401.8865936491911</v>
      </c>
      <c r="AR95" s="2">
        <f t="shared" si="45"/>
        <v>2702.1484980851851</v>
      </c>
      <c r="AS95" s="2">
        <f t="shared" si="45"/>
        <v>3037.5916307855809</v>
      </c>
      <c r="AT95" s="2">
        <f t="shared" si="45"/>
        <v>3412.1963071010437</v>
      </c>
      <c r="AU95" s="2">
        <f t="shared" si="45"/>
        <v>3830.3824589183232</v>
      </c>
      <c r="AV95" s="2">
        <f t="shared" si="45"/>
        <v>4297.0573388776811</v>
      </c>
      <c r="AW95" s="2">
        <f t="shared" si="45"/>
        <v>4817.6683318421774</v>
      </c>
    </row>
    <row r="96" spans="1:145" s="9" customFormat="1" x14ac:dyDescent="0.2">
      <c r="A96" s="8" t="s">
        <v>17</v>
      </c>
      <c r="B96" s="9">
        <f t="shared" ref="B96:Q96" si="46">+B94-B95</f>
        <v>30.69999999999996</v>
      </c>
      <c r="C96" s="9">
        <f t="shared" si="46"/>
        <v>99.012000000000057</v>
      </c>
      <c r="D96" s="9">
        <f t="shared" si="46"/>
        <v>154.36899999999989</v>
      </c>
      <c r="E96" s="9">
        <f t="shared" si="46"/>
        <v>339.83600000000001</v>
      </c>
      <c r="F96" s="9">
        <f t="shared" si="46"/>
        <v>154.81499999999994</v>
      </c>
      <c r="G96" s="9">
        <f t="shared" si="46"/>
        <v>218.41199999999992</v>
      </c>
      <c r="H96" s="9">
        <f t="shared" si="46"/>
        <v>214.10999999999999</v>
      </c>
      <c r="I96" s="9">
        <f t="shared" si="46"/>
        <v>438.16099999999989</v>
      </c>
      <c r="J96" s="9">
        <f t="shared" si="46"/>
        <v>192.19299999999993</v>
      </c>
      <c r="K96" s="9">
        <f t="shared" si="46"/>
        <v>281.53600000000006</v>
      </c>
      <c r="L96" s="9">
        <f t="shared" si="46"/>
        <v>257.65899999999988</v>
      </c>
      <c r="M96" s="9">
        <f t="shared" si="46"/>
        <v>529.89699999999971</v>
      </c>
      <c r="N96" s="9">
        <f t="shared" si="46"/>
        <v>292.28299999999979</v>
      </c>
      <c r="O96" s="9">
        <f t="shared" si="46"/>
        <v>343.48199999999997</v>
      </c>
      <c r="P96" s="9">
        <f t="shared" si="46"/>
        <v>324.46799999999979</v>
      </c>
      <c r="Q96" s="9">
        <f t="shared" si="46"/>
        <v>669.46800000000007</v>
      </c>
      <c r="R96" s="9">
        <f t="shared" ref="R96" si="47">+R94-R95</f>
        <v>321.42100000000016</v>
      </c>
      <c r="W96" s="9">
        <f t="shared" ref="W96:AQ96" si="48">+W94-W95</f>
        <v>279.54700000000008</v>
      </c>
      <c r="X96" s="9">
        <f t="shared" si="48"/>
        <v>239.03299999999987</v>
      </c>
      <c r="Y96" s="9">
        <f t="shared" si="48"/>
        <v>266.04700000000014</v>
      </c>
      <c r="Z96" s="9">
        <f t="shared" si="48"/>
        <v>303.38099999999969</v>
      </c>
      <c r="AA96" s="9">
        <f t="shared" si="48"/>
        <v>297.18699999999995</v>
      </c>
      <c r="AB96" s="9">
        <f t="shared" si="48"/>
        <v>483.80099999999999</v>
      </c>
      <c r="AC96" s="9">
        <f t="shared" si="48"/>
        <v>645.62499999999943</v>
      </c>
      <c r="AD96" s="9">
        <f t="shared" si="48"/>
        <v>623.91500000000008</v>
      </c>
      <c r="AE96" s="9">
        <f t="shared" si="48"/>
        <v>1025.4979999999998</v>
      </c>
      <c r="AF96" s="9">
        <f t="shared" si="48"/>
        <v>1261.2850000000001</v>
      </c>
      <c r="AG96" s="9">
        <f t="shared" si="48"/>
        <v>1629.7010000000009</v>
      </c>
      <c r="AH96" s="9">
        <f>+AH94-AH95</f>
        <v>1854.0973639999997</v>
      </c>
      <c r="AI96" s="9">
        <f t="shared" si="48"/>
        <v>2107.4311065780007</v>
      </c>
      <c r="AJ96" s="9">
        <f t="shared" si="48"/>
        <v>2391.6601408467473</v>
      </c>
      <c r="AK96" s="9">
        <f t="shared" si="48"/>
        <v>2710.3707098424179</v>
      </c>
      <c r="AL96" s="9">
        <f t="shared" si="48"/>
        <v>3067.5523581419347</v>
      </c>
      <c r="AM96" s="9">
        <f t="shared" si="48"/>
        <v>3467.6422827793058</v>
      </c>
      <c r="AN96" s="9">
        <f t="shared" si="48"/>
        <v>3915.5744811208706</v>
      </c>
      <c r="AO96" s="9">
        <f t="shared" si="48"/>
        <v>4416.8342079634185</v>
      </c>
      <c r="AP96" s="9">
        <f t="shared" si="48"/>
        <v>4977.5183082765852</v>
      </c>
      <c r="AQ96" s="9">
        <f t="shared" si="48"/>
        <v>5604.4020518481129</v>
      </c>
      <c r="AR96" s="9">
        <f>+AR94-AR95</f>
        <v>6305.0131621987657</v>
      </c>
      <c r="AS96" s="9">
        <f t="shared" ref="AS96:AW96" si="49">+AS94-AS95</f>
        <v>7087.7138051663569</v>
      </c>
      <c r="AT96" s="9">
        <f t="shared" si="49"/>
        <v>7961.7913832357699</v>
      </c>
      <c r="AU96" s="9">
        <f t="shared" si="49"/>
        <v>8937.5590708094205</v>
      </c>
      <c r="AV96" s="9">
        <f t="shared" si="49"/>
        <v>10026.467124047922</v>
      </c>
      <c r="AW96" s="9">
        <f t="shared" si="49"/>
        <v>11241.226107631748</v>
      </c>
      <c r="AX96" s="9">
        <f t="shared" ref="AX96:CC96" si="50">+AW96*(1+$BA$101)</f>
        <v>11128.813846555431</v>
      </c>
      <c r="AY96" s="9">
        <f t="shared" si="50"/>
        <v>11017.525708089877</v>
      </c>
      <c r="AZ96" s="9">
        <f t="shared" si="50"/>
        <v>10907.350451008979</v>
      </c>
      <c r="BA96" s="9">
        <f t="shared" si="50"/>
        <v>10798.276946498889</v>
      </c>
      <c r="BB96" s="9">
        <f t="shared" si="50"/>
        <v>10690.2941770339</v>
      </c>
      <c r="BC96" s="9">
        <f t="shared" si="50"/>
        <v>10583.391235263562</v>
      </c>
      <c r="BD96" s="9">
        <f t="shared" si="50"/>
        <v>10477.557322910925</v>
      </c>
      <c r="BE96" s="9">
        <f t="shared" si="50"/>
        <v>10372.781749681815</v>
      </c>
      <c r="BF96" s="9">
        <f t="shared" si="50"/>
        <v>10269.053932184997</v>
      </c>
      <c r="BG96" s="9">
        <f t="shared" si="50"/>
        <v>10166.363392863148</v>
      </c>
      <c r="BH96" s="9">
        <f t="shared" si="50"/>
        <v>10064.699758934516</v>
      </c>
      <c r="BI96" s="9">
        <f t="shared" si="50"/>
        <v>9964.0527613451704</v>
      </c>
      <c r="BJ96" s="9">
        <f t="shared" si="50"/>
        <v>9864.4122337317185</v>
      </c>
      <c r="BK96" s="9">
        <f t="shared" si="50"/>
        <v>9765.7681113944018</v>
      </c>
      <c r="BL96" s="9">
        <f t="shared" si="50"/>
        <v>9668.1104302804579</v>
      </c>
      <c r="BM96" s="9">
        <f t="shared" si="50"/>
        <v>9571.4293259776532</v>
      </c>
      <c r="BN96" s="9">
        <f t="shared" si="50"/>
        <v>9475.715032717877</v>
      </c>
      <c r="BO96" s="9">
        <f t="shared" si="50"/>
        <v>9380.9578823906977</v>
      </c>
      <c r="BP96" s="9">
        <f t="shared" si="50"/>
        <v>9287.1483035667898</v>
      </c>
      <c r="BQ96" s="9">
        <f t="shared" si="50"/>
        <v>9194.2768205311222</v>
      </c>
      <c r="BR96" s="9">
        <f t="shared" si="50"/>
        <v>9102.3340523258103</v>
      </c>
      <c r="BS96" s="9">
        <f t="shared" si="50"/>
        <v>9011.3107118025528</v>
      </c>
      <c r="BT96" s="9">
        <f t="shared" si="50"/>
        <v>8921.1976046845266</v>
      </c>
      <c r="BU96" s="9">
        <f t="shared" si="50"/>
        <v>8831.9856286376817</v>
      </c>
      <c r="BV96" s="9">
        <f t="shared" si="50"/>
        <v>8743.6657723513053</v>
      </c>
      <c r="BW96" s="9">
        <f t="shared" si="50"/>
        <v>8656.229114627793</v>
      </c>
      <c r="BX96" s="9">
        <f t="shared" si="50"/>
        <v>8569.6668234815152</v>
      </c>
      <c r="BY96" s="9">
        <f t="shared" si="50"/>
        <v>8483.9701552466995</v>
      </c>
      <c r="BZ96" s="9">
        <f t="shared" si="50"/>
        <v>8399.1304536942316</v>
      </c>
      <c r="CA96" s="9">
        <f t="shared" si="50"/>
        <v>8315.1391491572886</v>
      </c>
      <c r="CB96" s="9">
        <f t="shared" si="50"/>
        <v>8231.9877576657163</v>
      </c>
      <c r="CC96" s="9">
        <f t="shared" si="50"/>
        <v>8149.6678800890595</v>
      </c>
      <c r="CD96" s="9">
        <f t="shared" ref="CD96:DI96" si="51">+CC96*(1+$BA$101)</f>
        <v>8068.171201288169</v>
      </c>
      <c r="CE96" s="9">
        <f t="shared" si="51"/>
        <v>7987.4894892752873</v>
      </c>
      <c r="CF96" s="9">
        <f t="shared" si="51"/>
        <v>7907.6145943825341</v>
      </c>
      <c r="CG96" s="9">
        <f t="shared" si="51"/>
        <v>7828.5384484387087</v>
      </c>
      <c r="CH96" s="9">
        <f t="shared" si="51"/>
        <v>7750.2530639543211</v>
      </c>
      <c r="CI96" s="9">
        <f t="shared" si="51"/>
        <v>7672.7505333147774</v>
      </c>
      <c r="CJ96" s="9">
        <f t="shared" si="51"/>
        <v>7596.0230279816296</v>
      </c>
      <c r="CK96" s="9">
        <f t="shared" si="51"/>
        <v>7520.062797701813</v>
      </c>
      <c r="CL96" s="9">
        <f t="shared" si="51"/>
        <v>7444.8621697247945</v>
      </c>
      <c r="CM96" s="9">
        <f t="shared" si="51"/>
        <v>7370.4135480275463</v>
      </c>
      <c r="CN96" s="9">
        <f t="shared" si="51"/>
        <v>7296.7094125472704</v>
      </c>
      <c r="CO96" s="9">
        <f t="shared" si="51"/>
        <v>7223.7423184217978</v>
      </c>
      <c r="CP96" s="9">
        <f t="shared" si="51"/>
        <v>7151.5048952375801</v>
      </c>
      <c r="CQ96" s="9">
        <f t="shared" si="51"/>
        <v>7079.9898462852043</v>
      </c>
      <c r="CR96" s="9">
        <f t="shared" si="51"/>
        <v>7009.1899478223522</v>
      </c>
      <c r="CS96" s="9">
        <f t="shared" si="51"/>
        <v>6939.098048344129</v>
      </c>
      <c r="CT96" s="9">
        <f t="shared" si="51"/>
        <v>6869.7070678606879</v>
      </c>
      <c r="CU96" s="9">
        <f t="shared" si="51"/>
        <v>6801.009997182081</v>
      </c>
      <c r="CV96" s="9">
        <f t="shared" si="51"/>
        <v>6732.9998972102603</v>
      </c>
      <c r="CW96" s="9">
        <f t="shared" si="51"/>
        <v>6665.6698982381577</v>
      </c>
      <c r="CX96" s="9">
        <f t="shared" si="51"/>
        <v>6599.0131992557763</v>
      </c>
      <c r="CY96" s="9">
        <f t="shared" si="51"/>
        <v>6533.0230672632188</v>
      </c>
      <c r="CZ96" s="9">
        <f t="shared" si="51"/>
        <v>6467.6928365905869</v>
      </c>
      <c r="DA96" s="9">
        <f t="shared" si="51"/>
        <v>6403.015908224681</v>
      </c>
      <c r="DB96" s="9">
        <f t="shared" si="51"/>
        <v>6338.9857491424345</v>
      </c>
      <c r="DC96" s="9">
        <f t="shared" si="51"/>
        <v>6275.5958916510099</v>
      </c>
      <c r="DD96" s="9">
        <f t="shared" si="51"/>
        <v>6212.8399327344996</v>
      </c>
      <c r="DE96" s="9">
        <f t="shared" si="51"/>
        <v>6150.7115334071541</v>
      </c>
      <c r="DF96" s="9">
        <f t="shared" si="51"/>
        <v>6089.2044180730827</v>
      </c>
      <c r="DG96" s="9">
        <f t="shared" si="51"/>
        <v>6028.3123738923514</v>
      </c>
      <c r="DH96" s="9">
        <f t="shared" si="51"/>
        <v>5968.0292501534277</v>
      </c>
      <c r="DI96" s="9">
        <f t="shared" si="51"/>
        <v>5908.3489576518932</v>
      </c>
      <c r="DJ96" s="9">
        <f t="shared" ref="DJ96:EO96" si="52">+DI96*(1+$BA$101)</f>
        <v>5849.265468075374</v>
      </c>
      <c r="DK96" s="9">
        <f t="shared" si="52"/>
        <v>5790.7728133946202</v>
      </c>
      <c r="DL96" s="9">
        <f t="shared" si="52"/>
        <v>5732.8650852606743</v>
      </c>
      <c r="DM96" s="9">
        <f t="shared" si="52"/>
        <v>5675.5364344080672</v>
      </c>
      <c r="DN96" s="9">
        <f t="shared" si="52"/>
        <v>5618.7810700639866</v>
      </c>
      <c r="DO96" s="9">
        <f t="shared" si="52"/>
        <v>5562.593259363347</v>
      </c>
      <c r="DP96" s="9">
        <f t="shared" si="52"/>
        <v>5506.9673267697135</v>
      </c>
      <c r="DQ96" s="9">
        <f t="shared" si="52"/>
        <v>5451.8976535020165</v>
      </c>
      <c r="DR96" s="9">
        <f t="shared" si="52"/>
        <v>5397.378676966996</v>
      </c>
      <c r="DS96" s="9">
        <f t="shared" si="52"/>
        <v>5343.4048901973256</v>
      </c>
      <c r="DT96" s="9">
        <f t="shared" si="52"/>
        <v>5289.9708412953523</v>
      </c>
      <c r="DU96" s="9">
        <f t="shared" si="52"/>
        <v>5237.0711328823991</v>
      </c>
      <c r="DV96" s="9">
        <f t="shared" si="52"/>
        <v>5184.7004215535753</v>
      </c>
      <c r="DW96" s="9">
        <f t="shared" si="52"/>
        <v>5132.8534173380394</v>
      </c>
      <c r="DX96" s="9">
        <f t="shared" si="52"/>
        <v>5081.5248831646586</v>
      </c>
      <c r="DY96" s="9">
        <f t="shared" si="52"/>
        <v>5030.7096343330122</v>
      </c>
      <c r="DZ96" s="9">
        <f t="shared" si="52"/>
        <v>4980.4025379896821</v>
      </c>
      <c r="EA96" s="9">
        <f t="shared" si="52"/>
        <v>4930.5985126097848</v>
      </c>
      <c r="EB96" s="9">
        <f t="shared" si="52"/>
        <v>4881.2925274836871</v>
      </c>
      <c r="EC96" s="9">
        <f t="shared" si="52"/>
        <v>4832.4796022088503</v>
      </c>
      <c r="ED96" s="9">
        <f t="shared" si="52"/>
        <v>4784.1548061867616</v>
      </c>
      <c r="EE96" s="9">
        <f t="shared" si="52"/>
        <v>4736.3132581248938</v>
      </c>
      <c r="EF96" s="9">
        <f t="shared" si="52"/>
        <v>4688.9501255436444</v>
      </c>
      <c r="EG96" s="9">
        <f t="shared" si="52"/>
        <v>4642.0606242882077</v>
      </c>
      <c r="EH96" s="9">
        <f t="shared" si="52"/>
        <v>4595.6400180453256</v>
      </c>
      <c r="EI96" s="9">
        <f t="shared" si="52"/>
        <v>4549.6836178648728</v>
      </c>
      <c r="EJ96" s="9">
        <f t="shared" si="52"/>
        <v>4504.1867816862241</v>
      </c>
      <c r="EK96" s="9">
        <f t="shared" si="52"/>
        <v>4459.1449138693615</v>
      </c>
      <c r="EL96" s="9">
        <f t="shared" si="52"/>
        <v>4414.5534647306677</v>
      </c>
      <c r="EM96" s="9">
        <f t="shared" si="52"/>
        <v>4370.407930083361</v>
      </c>
      <c r="EN96" s="9">
        <f t="shared" si="52"/>
        <v>4326.7038507825273</v>
      </c>
      <c r="EO96" s="9">
        <f t="shared" si="52"/>
        <v>4283.4368122747019</v>
      </c>
    </row>
    <row r="97" spans="1:53" s="7" customFormat="1" x14ac:dyDescent="0.2">
      <c r="A97" s="7" t="s">
        <v>18</v>
      </c>
      <c r="B97" s="7">
        <f t="shared" ref="B97:Q97" si="53">+B96/B98</f>
        <v>0.23470409700083303</v>
      </c>
      <c r="C97" s="7">
        <f t="shared" si="53"/>
        <v>0.75697826435981963</v>
      </c>
      <c r="D97" s="7">
        <f t="shared" si="53"/>
        <v>1.1790733555345076</v>
      </c>
      <c r="E97" s="7">
        <f t="shared" si="53"/>
        <v>2.595039555270473</v>
      </c>
      <c r="F97" s="7">
        <f t="shared" si="53"/>
        <v>1.1819382520002437</v>
      </c>
      <c r="G97" s="7">
        <f t="shared" si="53"/>
        <v>1.6737834316805877</v>
      </c>
      <c r="H97" s="7">
        <f t="shared" si="53"/>
        <v>1.6446089915430644</v>
      </c>
      <c r="I97" s="7">
        <f t="shared" si="53"/>
        <v>3.38327362016246</v>
      </c>
      <c r="J97" s="7">
        <f t="shared" si="53"/>
        <v>1.4951883056767874</v>
      </c>
      <c r="K97" s="7">
        <f t="shared" si="53"/>
        <v>2.201116444889216</v>
      </c>
      <c r="L97" s="7">
        <f t="shared" si="53"/>
        <v>2.0157956501329988</v>
      </c>
      <c r="M97" s="7">
        <f t="shared" si="53"/>
        <v>4.1462340182469735</v>
      </c>
      <c r="N97" s="7">
        <f t="shared" si="53"/>
        <v>2.2902422015185571</v>
      </c>
      <c r="O97" s="7">
        <f t="shared" si="53"/>
        <v>2.6989934230687629</v>
      </c>
      <c r="P97" s="7">
        <f t="shared" si="53"/>
        <v>2.5595014593358036</v>
      </c>
      <c r="Q97" s="7">
        <f t="shared" si="53"/>
        <v>5.2809655281217962</v>
      </c>
      <c r="R97" s="7">
        <f t="shared" ref="R97" si="54">+R96/R98</f>
        <v>2.544175848530903</v>
      </c>
      <c r="S97" s="7">
        <f>+R97*1.1</f>
        <v>2.7985934333839935</v>
      </c>
      <c r="W97" s="7">
        <f t="shared" ref="W97:AW97" si="55">+W96/W98</f>
        <v>1.9141417253822508</v>
      </c>
      <c r="X97" s="7">
        <f t="shared" si="55"/>
        <v>1.6565233059363254</v>
      </c>
      <c r="Y97" s="7">
        <f t="shared" si="55"/>
        <v>1.8920916008818727</v>
      </c>
      <c r="Z97" s="7">
        <f t="shared" si="55"/>
        <v>2.2095890810039163</v>
      </c>
      <c r="AA97" s="7">
        <f t="shared" si="55"/>
        <v>2.1820217624341027</v>
      </c>
      <c r="AB97" s="7">
        <f t="shared" si="55"/>
        <v>3.6112367601943705</v>
      </c>
      <c r="AC97" s="7">
        <f t="shared" si="55"/>
        <v>4.9301286701538647</v>
      </c>
      <c r="AD97" s="7">
        <f t="shared" si="55"/>
        <v>4.7674045434053385</v>
      </c>
      <c r="AE97" s="7">
        <f t="shared" si="55"/>
        <v>7.8705859779730609</v>
      </c>
      <c r="AF97" s="7">
        <f t="shared" si="55"/>
        <v>9.8524805299296201</v>
      </c>
      <c r="AG97" s="7">
        <f t="shared" si="55"/>
        <v>12.751764448130709</v>
      </c>
      <c r="AH97" s="7">
        <f t="shared" si="55"/>
        <v>14.576007955849747</v>
      </c>
      <c r="AI97" s="7">
        <f t="shared" si="55"/>
        <v>16.646112277673343</v>
      </c>
      <c r="AJ97" s="7">
        <f t="shared" si="55"/>
        <v>18.98112840150749</v>
      </c>
      <c r="AK97" s="7">
        <f t="shared" si="55"/>
        <v>21.613456801665183</v>
      </c>
      <c r="AL97" s="7">
        <f t="shared" si="55"/>
        <v>24.579352559589861</v>
      </c>
      <c r="AM97" s="7">
        <f t="shared" si="55"/>
        <v>27.919375555782555</v>
      </c>
      <c r="AN97" s="7">
        <f t="shared" si="55"/>
        <v>31.678892583622183</v>
      </c>
      <c r="AO97" s="7">
        <f t="shared" si="55"/>
        <v>35.908637322672938</v>
      </c>
      <c r="AP97" s="7">
        <f t="shared" si="55"/>
        <v>40.665334784371034</v>
      </c>
      <c r="AQ97" s="7">
        <f t="shared" si="55"/>
        <v>46.012397594851564</v>
      </c>
      <c r="AR97" s="7">
        <f t="shared" si="55"/>
        <v>52.020702316783236</v>
      </c>
      <c r="AS97" s="7">
        <f t="shared" si="55"/>
        <v>58.769454944083449</v>
      </c>
      <c r="AT97" s="7">
        <f t="shared" si="55"/>
        <v>66.347155741035692</v>
      </c>
      <c r="AU97" s="7">
        <f t="shared" si="55"/>
        <v>74.852674752595547</v>
      </c>
      <c r="AV97" s="7">
        <f t="shared" si="55"/>
        <v>84.39645059887809</v>
      </c>
      <c r="AW97" s="7">
        <f t="shared" si="55"/>
        <v>95.101826598803228</v>
      </c>
    </row>
    <row r="98" spans="1:53" x14ac:dyDescent="0.2">
      <c r="A98" t="s">
        <v>4</v>
      </c>
      <c r="B98" s="2">
        <v>130.803</v>
      </c>
      <c r="C98" s="2">
        <v>130.79900000000001</v>
      </c>
      <c r="D98" s="2">
        <v>130.92400000000001</v>
      </c>
      <c r="E98" s="2">
        <v>130.95599999999999</v>
      </c>
      <c r="F98" s="2">
        <v>130.98400000000001</v>
      </c>
      <c r="G98" s="2">
        <v>130.49</v>
      </c>
      <c r="H98" s="2">
        <v>130.18899999999999</v>
      </c>
      <c r="I98" s="2">
        <v>129.50800000000001</v>
      </c>
      <c r="J98" s="2">
        <v>128.541</v>
      </c>
      <c r="K98" s="2">
        <v>127.90600000000001</v>
      </c>
      <c r="L98" s="2">
        <v>127.82</v>
      </c>
      <c r="M98" s="2">
        <v>127.80200000000001</v>
      </c>
      <c r="N98" s="2">
        <v>127.621</v>
      </c>
      <c r="O98" s="2">
        <v>127.26300000000001</v>
      </c>
      <c r="P98" s="2">
        <v>126.77</v>
      </c>
      <c r="Q98" s="2">
        <v>126.77</v>
      </c>
      <c r="R98" s="2">
        <v>126.336</v>
      </c>
      <c r="W98" s="2">
        <v>146.04300000000001</v>
      </c>
      <c r="X98" s="2">
        <v>144.298</v>
      </c>
      <c r="Y98" s="2">
        <v>140.61000000000001</v>
      </c>
      <c r="Z98" s="2">
        <v>137.30199999999999</v>
      </c>
      <c r="AA98" s="2">
        <v>136.19800000000001</v>
      </c>
      <c r="AB98" s="2">
        <v>133.971</v>
      </c>
      <c r="AC98" s="2">
        <v>130.95500000000001</v>
      </c>
      <c r="AD98" s="2">
        <v>130.87100000000001</v>
      </c>
      <c r="AE98" s="2">
        <v>130.29499999999999</v>
      </c>
      <c r="AF98" s="2">
        <v>128.017</v>
      </c>
      <c r="AG98" s="2">
        <v>127.80200000000001</v>
      </c>
      <c r="AH98" s="2">
        <f>+AG98-0.6</f>
        <v>127.20200000000001</v>
      </c>
      <c r="AI98" s="2">
        <f t="shared" ref="AI98:AR98" si="56">+AH98-0.6</f>
        <v>126.60200000000002</v>
      </c>
      <c r="AJ98" s="2">
        <f t="shared" si="56"/>
        <v>126.00200000000002</v>
      </c>
      <c r="AK98" s="2">
        <f t="shared" si="56"/>
        <v>125.40200000000003</v>
      </c>
      <c r="AL98" s="2">
        <f t="shared" si="56"/>
        <v>124.80200000000004</v>
      </c>
      <c r="AM98" s="2">
        <f t="shared" si="56"/>
        <v>124.20200000000004</v>
      </c>
      <c r="AN98" s="2">
        <f t="shared" si="56"/>
        <v>123.60200000000005</v>
      </c>
      <c r="AO98" s="2">
        <f t="shared" si="56"/>
        <v>123.00200000000005</v>
      </c>
      <c r="AP98" s="2">
        <f t="shared" si="56"/>
        <v>122.40200000000006</v>
      </c>
      <c r="AQ98" s="2">
        <f t="shared" si="56"/>
        <v>121.80200000000006</v>
      </c>
      <c r="AR98" s="2">
        <f t="shared" si="56"/>
        <v>121.20200000000007</v>
      </c>
      <c r="AS98" s="2">
        <f t="shared" ref="AS98" si="57">+AR98-0.6</f>
        <v>120.60200000000007</v>
      </c>
      <c r="AT98" s="2">
        <f t="shared" ref="AT98" si="58">+AS98-0.6</f>
        <v>120.00200000000008</v>
      </c>
      <c r="AU98" s="2">
        <f t="shared" ref="AU98" si="59">+AT98-0.6</f>
        <v>119.40200000000009</v>
      </c>
      <c r="AV98" s="2">
        <f t="shared" ref="AV98" si="60">+AU98-0.6</f>
        <v>118.80200000000009</v>
      </c>
      <c r="AW98" s="2">
        <f t="shared" ref="AW98" si="61">+AV98-0.6</f>
        <v>118.2020000000001</v>
      </c>
    </row>
    <row r="100" spans="1:53" s="6" customFormat="1" x14ac:dyDescent="0.2">
      <c r="A100" s="6" t="s">
        <v>39</v>
      </c>
      <c r="B100" s="6">
        <f t="shared" ref="B100:R100" si="62">+B90/B88</f>
        <v>0.51291639696792146</v>
      </c>
      <c r="C100" s="6">
        <f t="shared" si="62"/>
        <v>0.54211787689574753</v>
      </c>
      <c r="D100" s="6">
        <f t="shared" si="62"/>
        <v>0.56142778134748961</v>
      </c>
      <c r="E100" s="6">
        <f t="shared" si="62"/>
        <v>0.58554802436935871</v>
      </c>
      <c r="F100" s="6">
        <f t="shared" si="62"/>
        <v>0.57100202614832063</v>
      </c>
      <c r="G100" s="6">
        <f t="shared" si="62"/>
        <v>0.58091516856953374</v>
      </c>
      <c r="H100" s="6">
        <f t="shared" si="62"/>
        <v>0.57182914477934332</v>
      </c>
      <c r="I100" s="6">
        <f t="shared" si="62"/>
        <v>0.58060422344891971</v>
      </c>
      <c r="J100" s="6">
        <f t="shared" si="62"/>
        <v>0.53945643624923534</v>
      </c>
      <c r="K100" s="6">
        <f t="shared" si="62"/>
        <v>0.56493078303167332</v>
      </c>
      <c r="L100" s="6">
        <f t="shared" si="62"/>
        <v>0.5594583198026376</v>
      </c>
      <c r="M100" s="6">
        <f t="shared" si="62"/>
        <v>0.55112131372756989</v>
      </c>
      <c r="N100" s="6">
        <f t="shared" si="62"/>
        <v>0.57517473080660053</v>
      </c>
      <c r="O100" s="6">
        <f t="shared" si="62"/>
        <v>0.58778361960288161</v>
      </c>
      <c r="P100" s="6">
        <f t="shared" si="62"/>
        <v>0.57011783770933722</v>
      </c>
      <c r="Q100" s="6">
        <f t="shared" si="62"/>
        <v>0.59387327021939695</v>
      </c>
      <c r="R100" s="6">
        <f t="shared" si="62"/>
        <v>0.57724351269483198</v>
      </c>
      <c r="W100" s="6">
        <f t="shared" ref="W100:AR100" si="63">+W90/W88</f>
        <v>0.5279552133374561</v>
      </c>
      <c r="X100" s="6">
        <f t="shared" si="63"/>
        <v>0.50866536131220952</v>
      </c>
      <c r="Y100" s="6">
        <f t="shared" si="63"/>
        <v>0.48393830110122532</v>
      </c>
      <c r="Z100" s="6">
        <f t="shared" si="63"/>
        <v>0.51169642278253802</v>
      </c>
      <c r="AA100" s="6">
        <f t="shared" si="63"/>
        <v>0.52800846752260411</v>
      </c>
      <c r="AB100" s="6">
        <f t="shared" si="63"/>
        <v>0.55234513439845712</v>
      </c>
      <c r="AC100" s="6">
        <f t="shared" si="63"/>
        <v>0.55873853063456436</v>
      </c>
      <c r="AD100" s="6">
        <f t="shared" si="63"/>
        <v>0.55975891204642381</v>
      </c>
      <c r="AE100" s="6">
        <f t="shared" si="63"/>
        <v>0.57675977289324243</v>
      </c>
      <c r="AF100" s="6">
        <f t="shared" si="63"/>
        <v>0.55389063929085669</v>
      </c>
      <c r="AG100" s="6">
        <f t="shared" si="63"/>
        <v>0.58314199880697914</v>
      </c>
      <c r="AH100" s="6">
        <f t="shared" si="63"/>
        <v>0.59151761028037375</v>
      </c>
      <c r="AI100" s="6">
        <f t="shared" si="63"/>
        <v>0.59523108655055224</v>
      </c>
      <c r="AJ100" s="6">
        <f t="shared" si="63"/>
        <v>0.5989108039455473</v>
      </c>
      <c r="AK100" s="6">
        <f t="shared" si="63"/>
        <v>0.60255706936422415</v>
      </c>
      <c r="AL100" s="6">
        <f t="shared" si="63"/>
        <v>0.60617018691545843</v>
      </c>
      <c r="AM100" s="6">
        <f t="shared" si="63"/>
        <v>0.6097504579434998</v>
      </c>
      <c r="AN100" s="6">
        <f t="shared" si="63"/>
        <v>0.6132981810531043</v>
      </c>
      <c r="AO100" s="6">
        <f t="shared" si="63"/>
        <v>0.61681365213443973</v>
      </c>
      <c r="AP100" s="6">
        <f t="shared" si="63"/>
        <v>0.62029716438776306</v>
      </c>
      <c r="AQ100" s="6">
        <f t="shared" si="63"/>
        <v>0.62374900834787428</v>
      </c>
      <c r="AR100" s="6">
        <f t="shared" si="63"/>
        <v>0.62716947190834815</v>
      </c>
      <c r="AS100" s="6">
        <f t="shared" ref="AS100:AW100" si="64">+AS90/AS88</f>
        <v>0.63055884034554499</v>
      </c>
      <c r="AT100" s="6">
        <f t="shared" si="64"/>
        <v>0.63391739634240374</v>
      </c>
      <c r="AU100" s="6">
        <f t="shared" si="64"/>
        <v>0.63724542001201823</v>
      </c>
      <c r="AV100" s="6">
        <f t="shared" si="64"/>
        <v>0.64054318892099993</v>
      </c>
      <c r="AW100" s="6">
        <f t="shared" si="64"/>
        <v>0.64381097811262711</v>
      </c>
      <c r="AZ100" s="6" t="s">
        <v>223</v>
      </c>
      <c r="BA100" s="6">
        <v>0.01</v>
      </c>
    </row>
    <row r="101" spans="1:53" s="6" customFormat="1" x14ac:dyDescent="0.2">
      <c r="A101" s="6" t="s">
        <v>40</v>
      </c>
      <c r="B101" s="6">
        <f t="shared" ref="B101:R101" si="65">+B92/B88</f>
        <v>5.3406486881137187E-2</v>
      </c>
      <c r="C101" s="6">
        <f t="shared" si="65"/>
        <v>0.15130539946087351</v>
      </c>
      <c r="D101" s="6">
        <f t="shared" si="65"/>
        <v>0.19298459137338841</v>
      </c>
      <c r="E101" s="6">
        <f t="shared" si="65"/>
        <v>0.27053468852284612</v>
      </c>
      <c r="F101" s="6">
        <f t="shared" si="65"/>
        <v>0.16607078065823319</v>
      </c>
      <c r="G101" s="6">
        <f t="shared" si="65"/>
        <v>0.20775214425851599</v>
      </c>
      <c r="H101" s="6">
        <f t="shared" si="65"/>
        <v>0.19599068132631836</v>
      </c>
      <c r="I101" s="6">
        <f t="shared" si="65"/>
        <v>0.27908946119816086</v>
      </c>
      <c r="J101" s="6">
        <f t="shared" si="65"/>
        <v>0.16271956654723407</v>
      </c>
      <c r="K101" s="6">
        <f t="shared" si="65"/>
        <v>0.21046786217409366</v>
      </c>
      <c r="L101" s="6">
        <f t="shared" si="65"/>
        <v>0.1909731814879618</v>
      </c>
      <c r="M101" s="6">
        <f t="shared" si="65"/>
        <v>0.26138324101192051</v>
      </c>
      <c r="N101" s="6">
        <f t="shared" si="65"/>
        <v>0.20156617979280195</v>
      </c>
      <c r="O101" s="6">
        <f t="shared" si="65"/>
        <v>0.21779088479131253</v>
      </c>
      <c r="P101" s="6">
        <f t="shared" si="65"/>
        <v>0.18776228122626701</v>
      </c>
      <c r="Q101" s="6">
        <f t="shared" si="65"/>
        <v>0.28513592230889301</v>
      </c>
      <c r="R101" s="6">
        <f t="shared" si="65"/>
        <v>0.19586389731317669</v>
      </c>
      <c r="W101" s="6">
        <f t="shared" ref="W101:AR101" si="66">+W92/W88</f>
        <v>0.24595333800908509</v>
      </c>
      <c r="X101" s="6">
        <f t="shared" si="66"/>
        <v>0.20923118183543069</v>
      </c>
      <c r="Y101" s="6">
        <f t="shared" si="66"/>
        <v>0.1791176317857166</v>
      </c>
      <c r="Z101" s="6">
        <f t="shared" si="66"/>
        <v>0.17964231237779335</v>
      </c>
      <c r="AA101" s="6">
        <f t="shared" si="66"/>
        <v>0.18667127689652008</v>
      </c>
      <c r="AB101" s="6">
        <f t="shared" si="66"/>
        <v>0.21464949112297196</v>
      </c>
      <c r="AC101" s="6">
        <f t="shared" si="66"/>
        <v>0.22344128207602537</v>
      </c>
      <c r="AD101" s="6">
        <f t="shared" si="66"/>
        <v>0.19423250843560216</v>
      </c>
      <c r="AE101" s="6">
        <f t="shared" si="66"/>
        <v>0.22113084435246713</v>
      </c>
      <c r="AF101" s="6">
        <f t="shared" si="66"/>
        <v>0.21390655935909397</v>
      </c>
      <c r="AG101" s="6">
        <f t="shared" si="66"/>
        <v>0.22997432863464395</v>
      </c>
      <c r="AH101" s="6">
        <f t="shared" si="66"/>
        <v>0.24544587009345789</v>
      </c>
      <c r="AI101" s="6">
        <f t="shared" si="66"/>
        <v>0.25230545309260838</v>
      </c>
      <c r="AJ101" s="6">
        <f t="shared" si="66"/>
        <v>0.25910267624631195</v>
      </c>
      <c r="AK101" s="6">
        <f t="shared" si="66"/>
        <v>0.26583810646225459</v>
      </c>
      <c r="AL101" s="6">
        <f t="shared" si="66"/>
        <v>0.27251230549441585</v>
      </c>
      <c r="AM101" s="6">
        <f t="shared" si="66"/>
        <v>0.2791258299899213</v>
      </c>
      <c r="AN101" s="6">
        <f t="shared" si="66"/>
        <v>0.28567923153546743</v>
      </c>
      <c r="AO101" s="6">
        <f t="shared" si="66"/>
        <v>0.29217305670332688</v>
      </c>
      <c r="AP101" s="6">
        <f t="shared" si="66"/>
        <v>0.298607847096933</v>
      </c>
      <c r="AQ101" s="6">
        <f t="shared" si="66"/>
        <v>0.30498413939605179</v>
      </c>
      <c r="AR101" s="6">
        <f t="shared" si="66"/>
        <v>0.31130246540154227</v>
      </c>
      <c r="AS101" s="6">
        <f t="shared" ref="AS101:AW101" si="67">+AS92/AS88</f>
        <v>0.31756335207971009</v>
      </c>
      <c r="AT101" s="6">
        <f t="shared" si="67"/>
        <v>0.32376732160625826</v>
      </c>
      <c r="AU101" s="6">
        <f t="shared" si="67"/>
        <v>0.32991489140983771</v>
      </c>
      <c r="AV101" s="6">
        <f t="shared" si="67"/>
        <v>0.33600657421520286</v>
      </c>
      <c r="AW101" s="6">
        <f t="shared" si="67"/>
        <v>0.34204287808597372</v>
      </c>
      <c r="AZ101" s="6" t="s">
        <v>226</v>
      </c>
      <c r="BA101" s="6">
        <v>-0.01</v>
      </c>
    </row>
    <row r="102" spans="1:53" s="6" customFormat="1" x14ac:dyDescent="0.2">
      <c r="A102" s="6" t="s">
        <v>41</v>
      </c>
      <c r="B102" s="6">
        <f t="shared" ref="B102:R102" si="68">+B96/B88</f>
        <v>4.7088634000141051E-2</v>
      </c>
      <c r="C102" s="6">
        <f t="shared" si="68"/>
        <v>0.10965488370238627</v>
      </c>
      <c r="D102" s="6">
        <f t="shared" si="68"/>
        <v>0.138146955592585</v>
      </c>
      <c r="E102" s="6">
        <f t="shared" si="68"/>
        <v>0.19648821744859499</v>
      </c>
      <c r="F102" s="6">
        <f t="shared" si="68"/>
        <v>0.12622863269640794</v>
      </c>
      <c r="G102" s="6">
        <f t="shared" si="68"/>
        <v>0.15056479376376133</v>
      </c>
      <c r="H102" s="6">
        <f t="shared" si="68"/>
        <v>0.14761920849187923</v>
      </c>
      <c r="I102" s="6">
        <f t="shared" si="68"/>
        <v>0.20579508931653695</v>
      </c>
      <c r="J102" s="6">
        <f t="shared" si="68"/>
        <v>0.11911831879627852</v>
      </c>
      <c r="K102" s="6">
        <f t="shared" si="68"/>
        <v>0.15068874416055428</v>
      </c>
      <c r="L102" s="6">
        <f t="shared" si="68"/>
        <v>0.13875842874829886</v>
      </c>
      <c r="M102" s="6">
        <f t="shared" si="68"/>
        <v>0.19117170628297894</v>
      </c>
      <c r="N102" s="6">
        <f t="shared" si="68"/>
        <v>0.14608365087425371</v>
      </c>
      <c r="O102" s="6">
        <f t="shared" si="68"/>
        <v>0.15548046433833596</v>
      </c>
      <c r="P102" s="6">
        <f t="shared" si="68"/>
        <v>0.14720322581523235</v>
      </c>
      <c r="Q102" s="6">
        <f t="shared" si="68"/>
        <v>0.20887565859817925</v>
      </c>
      <c r="R102" s="6">
        <f t="shared" si="68"/>
        <v>0.14551238607971156</v>
      </c>
      <c r="W102" s="6">
        <f t="shared" ref="W102:AR102" si="69">+W96/W88</f>
        <v>0.17568445714774122</v>
      </c>
      <c r="X102" s="6">
        <f t="shared" si="69"/>
        <v>0.13300204260708101</v>
      </c>
      <c r="Y102" s="6">
        <f t="shared" si="69"/>
        <v>0.12911624864172841</v>
      </c>
      <c r="Z102" s="6">
        <f t="shared" si="69"/>
        <v>0.12940711280366068</v>
      </c>
      <c r="AA102" s="6">
        <f t="shared" si="69"/>
        <v>0.11218070792444909</v>
      </c>
      <c r="AB102" s="6">
        <f t="shared" si="69"/>
        <v>0.14712714916040687</v>
      </c>
      <c r="AC102" s="6">
        <f t="shared" si="69"/>
        <v>0.1622460354796425</v>
      </c>
      <c r="AD102" s="6">
        <f t="shared" si="69"/>
        <v>0.14173833492469923</v>
      </c>
      <c r="AE102" s="6">
        <f t="shared" si="69"/>
        <v>0.16390614928163252</v>
      </c>
      <c r="AF102" s="6">
        <f t="shared" si="69"/>
        <v>0.155512261978828</v>
      </c>
      <c r="AG102" s="6">
        <f t="shared" si="69"/>
        <v>0.16942030368599398</v>
      </c>
      <c r="AH102" s="6">
        <f t="shared" si="69"/>
        <v>0.17328012747663549</v>
      </c>
      <c r="AI102" s="6">
        <f t="shared" si="69"/>
        <v>0.17905107107714532</v>
      </c>
      <c r="AJ102" s="6">
        <f t="shared" si="69"/>
        <v>0.18472697465410878</v>
      </c>
      <c r="AK102" s="6">
        <f t="shared" si="69"/>
        <v>0.19031230189109566</v>
      </c>
      <c r="AL102" s="6">
        <f t="shared" si="69"/>
        <v>0.1958111715558685</v>
      </c>
      <c r="AM102" s="6">
        <f t="shared" si="69"/>
        <v>0.20122738636627985</v>
      </c>
      <c r="AN102" s="6">
        <f t="shared" si="69"/>
        <v>0.20656445941837165</v>
      </c>
      <c r="AO102" s="6">
        <f t="shared" si="69"/>
        <v>0.21182563838275889</v>
      </c>
      <c r="AP102" s="6">
        <f t="shared" si="69"/>
        <v>0.21701392765795252</v>
      </c>
      <c r="AQ102" s="6">
        <f t="shared" si="69"/>
        <v>0.2221321086533318</v>
      </c>
      <c r="AR102" s="6">
        <f t="shared" si="69"/>
        <v>0.22718275835986951</v>
      </c>
      <c r="AS102" s="6">
        <f t="shared" ref="AS102:AW102" si="70">+AS96/AS88</f>
        <v>0.23216826635335069</v>
      </c>
      <c r="AT102" s="6">
        <f t="shared" si="70"/>
        <v>0.2370908503625872</v>
      </c>
      <c r="AU102" s="6">
        <f t="shared" si="70"/>
        <v>0.24195257052392685</v>
      </c>
      <c r="AV102" s="6">
        <f t="shared" si="70"/>
        <v>0.24675534243310379</v>
      </c>
      <c r="AW102" s="6">
        <f t="shared" si="70"/>
        <v>0.25150094909608478</v>
      </c>
      <c r="AZ102" s="6" t="s">
        <v>224</v>
      </c>
      <c r="BA102" s="6">
        <v>0.11</v>
      </c>
    </row>
    <row r="103" spans="1:53" s="6" customFormat="1" x14ac:dyDescent="0.2">
      <c r="A103" s="6" t="s">
        <v>16</v>
      </c>
      <c r="B103" s="6">
        <f t="shared" ref="B103:R103" si="71">+B95/B94</f>
        <v>0.14705637207234756</v>
      </c>
      <c r="C103" s="6">
        <f t="shared" si="71"/>
        <v>0.27344506736329205</v>
      </c>
      <c r="D103" s="6">
        <f t="shared" si="71"/>
        <v>0.28222499139798962</v>
      </c>
      <c r="E103" s="6">
        <f t="shared" si="71"/>
        <v>0.27232627506065088</v>
      </c>
      <c r="F103" s="6">
        <f t="shared" si="71"/>
        <v>0.24075681560711507</v>
      </c>
      <c r="G103" s="6">
        <f t="shared" si="71"/>
        <v>0.27549798484069465</v>
      </c>
      <c r="H103" s="6">
        <f t="shared" si="71"/>
        <v>0.24684470459118349</v>
      </c>
      <c r="I103" s="6">
        <f t="shared" si="71"/>
        <v>0.26283797311188473</v>
      </c>
      <c r="J103" s="6">
        <f t="shared" si="71"/>
        <v>0.26789197013560878</v>
      </c>
      <c r="K103" s="6">
        <f t="shared" si="71"/>
        <v>0.28429358768379731</v>
      </c>
      <c r="L103" s="6">
        <f t="shared" si="71"/>
        <v>0.2740916249468231</v>
      </c>
      <c r="M103" s="6">
        <f t="shared" si="71"/>
        <v>0.27234040215813621</v>
      </c>
      <c r="N103" s="6">
        <f t="shared" si="71"/>
        <v>0.28939722890130987</v>
      </c>
      <c r="O103" s="6">
        <f t="shared" si="71"/>
        <v>0.29686099021899781</v>
      </c>
      <c r="P103" s="6">
        <f t="shared" si="71"/>
        <v>0.23422332674865662</v>
      </c>
      <c r="Q103" s="6">
        <f t="shared" si="71"/>
        <v>0.28147082814579488</v>
      </c>
      <c r="R103" s="6">
        <f t="shared" si="71"/>
        <v>0.29501343422712056</v>
      </c>
      <c r="W103" s="6">
        <f t="shared" ref="W103:AG103" si="72">+W95/W94</f>
        <v>0.29607479741945875</v>
      </c>
      <c r="X103" s="6">
        <f t="shared" si="72"/>
        <v>0.37611285839195074</v>
      </c>
      <c r="Y103" s="6">
        <f t="shared" si="72"/>
        <v>0.27801734080516688</v>
      </c>
      <c r="Z103" s="6">
        <f t="shared" si="72"/>
        <v>0.28232744855451147</v>
      </c>
      <c r="AA103" s="6">
        <f t="shared" si="72"/>
        <v>0.403865017260989</v>
      </c>
      <c r="AB103" s="6">
        <f t="shared" si="72"/>
        <v>0.32359175113596644</v>
      </c>
      <c r="AC103" s="6">
        <f t="shared" si="72"/>
        <v>0.28057814495298772</v>
      </c>
      <c r="AD103" s="6">
        <f t="shared" si="72"/>
        <v>0.26972137947824781</v>
      </c>
      <c r="AE103" s="6">
        <f t="shared" si="72"/>
        <v>0.25905732833831274</v>
      </c>
      <c r="AF103" s="6">
        <f t="shared" si="72"/>
        <v>0.27473008344757155</v>
      </c>
      <c r="AG103" s="6">
        <f t="shared" si="72"/>
        <v>0.27737328876761103</v>
      </c>
      <c r="AH103" s="6">
        <v>0.3</v>
      </c>
      <c r="AI103" s="6">
        <v>0.3</v>
      </c>
      <c r="AJ103" s="6">
        <v>0.3</v>
      </c>
      <c r="AK103" s="6">
        <v>0.3</v>
      </c>
      <c r="AL103" s="6">
        <v>0.3</v>
      </c>
      <c r="AM103" s="6">
        <v>0.3</v>
      </c>
      <c r="AN103" s="6">
        <v>0.3</v>
      </c>
      <c r="AO103" s="6">
        <v>0.3</v>
      </c>
      <c r="AP103" s="6">
        <v>0.3</v>
      </c>
      <c r="AQ103" s="6">
        <v>0.3</v>
      </c>
      <c r="AR103" s="6">
        <v>0.3</v>
      </c>
      <c r="AS103" s="6">
        <v>0.3</v>
      </c>
      <c r="AT103" s="6">
        <v>0.3</v>
      </c>
      <c r="AU103" s="6">
        <v>0.3</v>
      </c>
      <c r="AV103" s="6">
        <v>0.3</v>
      </c>
      <c r="AW103" s="6">
        <v>0.3</v>
      </c>
      <c r="AZ103" s="6" t="s">
        <v>225</v>
      </c>
      <c r="BA103" s="2">
        <f>NPV(BA102,AH96:EO96)</f>
        <v>48135.848673210152</v>
      </c>
    </row>
    <row r="104" spans="1:53" s="6" customFormat="1" x14ac:dyDescent="0.2">
      <c r="AZ104" s="6" t="s">
        <v>43</v>
      </c>
      <c r="BA104" s="2">
        <f>+AG108</f>
        <v>2243.971</v>
      </c>
    </row>
    <row r="105" spans="1:53" s="6" customFormat="1" x14ac:dyDescent="0.2">
      <c r="A105" s="6" t="s">
        <v>59</v>
      </c>
      <c r="F105" s="6">
        <f t="shared" ref="F105:R105" si="73">+F91/B91-1</f>
        <v>0.65775094047392524</v>
      </c>
      <c r="G105" s="6">
        <f t="shared" si="73"/>
        <v>0.5339930458143114</v>
      </c>
      <c r="H105" s="6">
        <f t="shared" si="73"/>
        <v>0.3240549127051211</v>
      </c>
      <c r="I105" s="6">
        <f t="shared" si="73"/>
        <v>0.17827179437293417</v>
      </c>
      <c r="J105" s="6">
        <f t="shared" si="73"/>
        <v>0.22394157468075071</v>
      </c>
      <c r="K105" s="6">
        <f t="shared" si="73"/>
        <v>0.22341068172623446</v>
      </c>
      <c r="L105" s="6">
        <f t="shared" si="73"/>
        <v>0.25519331381483834</v>
      </c>
      <c r="M105" s="6">
        <f t="shared" si="73"/>
        <v>0.25102537701005834</v>
      </c>
      <c r="N105" s="6">
        <f t="shared" si="73"/>
        <v>0.22976354402641452</v>
      </c>
      <c r="O105" s="6">
        <f t="shared" si="73"/>
        <v>0.2342337445054985</v>
      </c>
      <c r="P105" s="6">
        <f t="shared" si="73"/>
        <v>0.23173144938296142</v>
      </c>
      <c r="Q105" s="6">
        <f t="shared" si="73"/>
        <v>0.23213345170693311</v>
      </c>
      <c r="R105" s="6">
        <f t="shared" si="73"/>
        <v>0.12697170483991593</v>
      </c>
      <c r="X105" s="6">
        <f t="shared" ref="X105:AR105" si="74">+X91/W91-1</f>
        <v>0.19929889150869817</v>
      </c>
      <c r="Y105" s="6">
        <f t="shared" si="74"/>
        <v>0.16713463050058808</v>
      </c>
      <c r="Z105" s="6">
        <f t="shared" si="74"/>
        <v>0.23941632568580928</v>
      </c>
      <c r="AA105" s="6">
        <f t="shared" si="74"/>
        <v>0.1615987873571707</v>
      </c>
      <c r="AB105" s="6">
        <f t="shared" si="74"/>
        <v>0.22801637574867528</v>
      </c>
      <c r="AC105" s="6">
        <f t="shared" si="74"/>
        <v>0.20153613261638736</v>
      </c>
      <c r="AD105" s="6">
        <f t="shared" si="74"/>
        <v>0.20592588928436784</v>
      </c>
      <c r="AE105" s="6">
        <f t="shared" si="74"/>
        <v>0.38286504127089893</v>
      </c>
      <c r="AF105" s="6">
        <f t="shared" si="74"/>
        <v>0.23928308511240726</v>
      </c>
      <c r="AG105" s="6">
        <f t="shared" si="74"/>
        <v>0.23201570148039097</v>
      </c>
      <c r="AH105" s="6">
        <f t="shared" si="74"/>
        <v>9.000000000000008E-2</v>
      </c>
      <c r="AI105" s="6">
        <f t="shared" si="74"/>
        <v>9.000000000000008E-2</v>
      </c>
      <c r="AJ105" s="6">
        <f t="shared" si="74"/>
        <v>9.000000000000008E-2</v>
      </c>
      <c r="AK105" s="6">
        <f t="shared" si="74"/>
        <v>9.000000000000008E-2</v>
      </c>
      <c r="AL105" s="6">
        <f t="shared" si="74"/>
        <v>9.000000000000008E-2</v>
      </c>
      <c r="AM105" s="6">
        <f t="shared" si="74"/>
        <v>9.000000000000008E-2</v>
      </c>
      <c r="AN105" s="6">
        <f t="shared" si="74"/>
        <v>9.000000000000008E-2</v>
      </c>
      <c r="AO105" s="6">
        <f t="shared" si="74"/>
        <v>9.000000000000008E-2</v>
      </c>
      <c r="AP105" s="6">
        <f t="shared" si="74"/>
        <v>9.000000000000008E-2</v>
      </c>
      <c r="AQ105" s="6">
        <f t="shared" si="74"/>
        <v>9.000000000000008E-2</v>
      </c>
      <c r="AR105" s="6">
        <f t="shared" si="74"/>
        <v>9.000000000000008E-2</v>
      </c>
      <c r="AS105" s="6">
        <f t="shared" ref="AS105:AW105" si="75">+AS91/AR91-1</f>
        <v>9.000000000000008E-2</v>
      </c>
      <c r="AT105" s="6">
        <f t="shared" si="75"/>
        <v>9.000000000000008E-2</v>
      </c>
      <c r="AU105" s="6">
        <f t="shared" si="75"/>
        <v>9.000000000000008E-2</v>
      </c>
      <c r="AV105" s="6">
        <f t="shared" si="75"/>
        <v>9.000000000000008E-2</v>
      </c>
      <c r="AW105" s="6">
        <f t="shared" si="75"/>
        <v>9.000000000000008E-2</v>
      </c>
      <c r="AZ105" s="6" t="s">
        <v>227</v>
      </c>
      <c r="BA105" s="2">
        <f>+BA103-BA104</f>
        <v>45891.877673210154</v>
      </c>
    </row>
    <row r="106" spans="1:53" s="10" customFormat="1" x14ac:dyDescent="0.2">
      <c r="A106" s="10" t="s">
        <v>42</v>
      </c>
      <c r="F106" s="10">
        <f t="shared" ref="F106:S106" si="76">+F88/B88-1</f>
        <v>0.88119092830563739</v>
      </c>
      <c r="G106" s="10">
        <f t="shared" si="76"/>
        <v>0.6065461568960131</v>
      </c>
      <c r="H106" s="10">
        <f t="shared" si="76"/>
        <v>0.29800183636321353</v>
      </c>
      <c r="I106" s="10">
        <f t="shared" si="76"/>
        <v>0.23102207569719035</v>
      </c>
      <c r="J106" s="10">
        <f t="shared" si="76"/>
        <v>0.31553937535926435</v>
      </c>
      <c r="K106" s="10">
        <f t="shared" si="76"/>
        <v>0.28795313445717619</v>
      </c>
      <c r="L106" s="10">
        <f t="shared" si="76"/>
        <v>0.28024139198205189</v>
      </c>
      <c r="M106" s="10">
        <f t="shared" si="76"/>
        <v>0.30187453648538143</v>
      </c>
      <c r="N106" s="10">
        <f t="shared" si="76"/>
        <v>0.2400606645457628</v>
      </c>
      <c r="O106" s="10">
        <f t="shared" si="76"/>
        <v>0.1824288882894225</v>
      </c>
      <c r="P106" s="10">
        <f t="shared" si="76"/>
        <v>0.18704887583479679</v>
      </c>
      <c r="Q106" s="10">
        <f t="shared" si="76"/>
        <v>0.1563096400294679</v>
      </c>
      <c r="R106" s="10">
        <f t="shared" si="76"/>
        <v>0.10400831270816768</v>
      </c>
      <c r="S106" s="10">
        <f t="shared" si="76"/>
        <v>9.5436511079978192E-2</v>
      </c>
      <c r="X106" s="10">
        <f t="shared" ref="X106:AR106" si="77">+X88/W88-1</f>
        <v>0.12947872910052105</v>
      </c>
      <c r="Y106" s="10">
        <f t="shared" si="77"/>
        <v>0.1465101799285895</v>
      </c>
      <c r="Z106" s="10">
        <f t="shared" si="77"/>
        <v>0.13776550904794549</v>
      </c>
      <c r="AA106" s="10">
        <f t="shared" si="77"/>
        <v>0.13000769495886355</v>
      </c>
      <c r="AB106" s="10">
        <f t="shared" si="77"/>
        <v>0.24125871354203432</v>
      </c>
      <c r="AC106" s="10">
        <f t="shared" si="77"/>
        <v>0.21013076894303739</v>
      </c>
      <c r="AD106" s="10">
        <f t="shared" si="77"/>
        <v>0.10619541748088102</v>
      </c>
      <c r="AE106" s="10">
        <f t="shared" si="77"/>
        <v>0.42135142742451581</v>
      </c>
      <c r="AF106" s="10">
        <f t="shared" si="77"/>
        <v>0.29631045020016411</v>
      </c>
      <c r="AG106" s="10">
        <f t="shared" si="77"/>
        <v>0.18602510961691965</v>
      </c>
      <c r="AH106" s="10">
        <f t="shared" si="77"/>
        <v>0.11234959630026276</v>
      </c>
      <c r="AI106" s="10">
        <f t="shared" si="77"/>
        <v>0.10000000000000009</v>
      </c>
      <c r="AJ106" s="10">
        <f t="shared" si="77"/>
        <v>0.10000000000000009</v>
      </c>
      <c r="AK106" s="10">
        <f t="shared" si="77"/>
        <v>0.10000000000000009</v>
      </c>
      <c r="AL106" s="10">
        <f t="shared" si="77"/>
        <v>0.10000000000000009</v>
      </c>
      <c r="AM106" s="10">
        <f t="shared" si="77"/>
        <v>0.10000000000000009</v>
      </c>
      <c r="AN106" s="10">
        <f t="shared" si="77"/>
        <v>0.10000000000000009</v>
      </c>
      <c r="AO106" s="10">
        <f t="shared" si="77"/>
        <v>0.10000000000000009</v>
      </c>
      <c r="AP106" s="10">
        <f t="shared" si="77"/>
        <v>0.10000000000000009</v>
      </c>
      <c r="AQ106" s="10">
        <f t="shared" si="77"/>
        <v>0.10000000000000009</v>
      </c>
      <c r="AR106" s="10">
        <f t="shared" si="77"/>
        <v>0.10000000000000009</v>
      </c>
      <c r="AS106" s="10">
        <f t="shared" ref="AS106:AW106" si="78">+AS88/AR88-1</f>
        <v>0.10000000000000009</v>
      </c>
      <c r="AT106" s="10">
        <f t="shared" si="78"/>
        <v>0.10000000000000009</v>
      </c>
      <c r="AU106" s="10">
        <f t="shared" si="78"/>
        <v>0.10000000000000009</v>
      </c>
      <c r="AV106" s="10">
        <f t="shared" si="78"/>
        <v>0.10000000000000009</v>
      </c>
      <c r="AW106" s="10">
        <f t="shared" si="78"/>
        <v>0.10000000000000009</v>
      </c>
      <c r="AZ106" s="6" t="s">
        <v>228</v>
      </c>
      <c r="BA106" s="7">
        <f>+BA105/Main!P5</f>
        <v>363.25257783379362</v>
      </c>
    </row>
    <row r="107" spans="1:53" x14ac:dyDescent="0.2"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Z107" s="2" t="s">
        <v>229</v>
      </c>
      <c r="BA107" s="7">
        <f>+Main!P4</f>
        <v>290</v>
      </c>
    </row>
    <row r="108" spans="1:53" s="9" customFormat="1" x14ac:dyDescent="0.2">
      <c r="A108" s="10" t="s">
        <v>43</v>
      </c>
      <c r="B108" s="9">
        <f t="shared" ref="B108:R108" si="79">+B109</f>
        <v>823.00599999999997</v>
      </c>
      <c r="C108" s="9">
        <f t="shared" si="79"/>
        <v>522.99800000000005</v>
      </c>
      <c r="D108" s="9">
        <f t="shared" si="79"/>
        <v>481.58100000000002</v>
      </c>
      <c r="E108" s="9">
        <f t="shared" si="79"/>
        <v>1150.5170000000001</v>
      </c>
      <c r="F108" s="9">
        <f t="shared" si="79"/>
        <v>1179.739</v>
      </c>
      <c r="G108" s="9">
        <f t="shared" si="79"/>
        <v>1170.0409999999999</v>
      </c>
      <c r="H108" s="9">
        <f t="shared" si="79"/>
        <v>993.59100000000001</v>
      </c>
      <c r="I108" s="9">
        <f t="shared" si="79"/>
        <v>1259.8710000000001</v>
      </c>
      <c r="J108" s="9">
        <f t="shared" si="79"/>
        <v>649.01599999999996</v>
      </c>
      <c r="K108" s="9">
        <f t="shared" si="79"/>
        <v>498.93099999999998</v>
      </c>
      <c r="L108" s="9">
        <f t="shared" si="79"/>
        <v>352.62400000000002</v>
      </c>
      <c r="M108" s="9">
        <f t="shared" si="79"/>
        <v>1154.867</v>
      </c>
      <c r="N108" s="9">
        <f t="shared" si="79"/>
        <v>950.60699999999997</v>
      </c>
      <c r="O108" s="9">
        <f t="shared" si="79"/>
        <v>1107.53</v>
      </c>
      <c r="P108" s="9">
        <f t="shared" si="79"/>
        <v>1091.1379999999999</v>
      </c>
      <c r="Q108" s="9">
        <f>+Q109</f>
        <v>2243.971</v>
      </c>
      <c r="R108" s="9">
        <f t="shared" si="79"/>
        <v>1900.672</v>
      </c>
      <c r="AG108" s="9">
        <f>+Q108</f>
        <v>2243.971</v>
      </c>
      <c r="AH108" s="9">
        <f>+AG108+AH96</f>
        <v>4098.0683639999997</v>
      </c>
      <c r="AI108" s="9">
        <f t="shared" ref="AH108:AW108" si="80">+AH108+AI96</f>
        <v>6205.4994705780009</v>
      </c>
      <c r="AJ108" s="9">
        <f t="shared" si="80"/>
        <v>8597.1596114247477</v>
      </c>
      <c r="AK108" s="9">
        <f t="shared" si="80"/>
        <v>11307.530321267166</v>
      </c>
      <c r="AL108" s="9">
        <f t="shared" si="80"/>
        <v>14375.082679409101</v>
      </c>
      <c r="AM108" s="9">
        <f t="shared" si="80"/>
        <v>17842.724962188408</v>
      </c>
      <c r="AN108" s="9">
        <f t="shared" si="80"/>
        <v>21758.299443309279</v>
      </c>
      <c r="AO108" s="9">
        <f t="shared" si="80"/>
        <v>26175.133651272699</v>
      </c>
      <c r="AP108" s="9">
        <f t="shared" si="80"/>
        <v>31152.651959549286</v>
      </c>
      <c r="AQ108" s="9">
        <f t="shared" si="80"/>
        <v>36757.054011397398</v>
      </c>
      <c r="AR108" s="9">
        <f t="shared" si="80"/>
        <v>43062.067173596166</v>
      </c>
      <c r="AS108" s="9">
        <f t="shared" si="80"/>
        <v>50149.780978762523</v>
      </c>
      <c r="AT108" s="9">
        <f t="shared" si="80"/>
        <v>58111.572361998289</v>
      </c>
      <c r="AU108" s="9">
        <f t="shared" si="80"/>
        <v>67049.131432807713</v>
      </c>
      <c r="AV108" s="9">
        <f t="shared" si="80"/>
        <v>77075.598556855635</v>
      </c>
      <c r="AW108" s="9">
        <f t="shared" si="80"/>
        <v>88316.824664487387</v>
      </c>
      <c r="AZ108" s="2" t="s">
        <v>230</v>
      </c>
      <c r="BA108" s="10">
        <f>+BA106/BA107-1</f>
        <v>0.25259509597859875</v>
      </c>
    </row>
    <row r="109" spans="1:53" x14ac:dyDescent="0.2">
      <c r="A109" s="6" t="s">
        <v>6</v>
      </c>
      <c r="B109" s="2">
        <v>823.00599999999997</v>
      </c>
      <c r="C109" s="2">
        <v>522.99800000000005</v>
      </c>
      <c r="D109" s="2">
        <v>481.58100000000002</v>
      </c>
      <c r="E109" s="2">
        <v>1150.5170000000001</v>
      </c>
      <c r="F109" s="2">
        <v>1179.739</v>
      </c>
      <c r="G109" s="2">
        <v>1170.0409999999999</v>
      </c>
      <c r="H109" s="2">
        <v>993.59100000000001</v>
      </c>
      <c r="I109" s="2">
        <v>1259.8710000000001</v>
      </c>
      <c r="J109" s="2">
        <v>649.01599999999996</v>
      </c>
      <c r="K109" s="2">
        <v>498.93099999999998</v>
      </c>
      <c r="L109" s="2">
        <v>352.62400000000002</v>
      </c>
      <c r="M109" s="2">
        <v>1154.867</v>
      </c>
      <c r="N109" s="2">
        <v>950.60699999999997</v>
      </c>
      <c r="O109" s="2">
        <v>1107.53</v>
      </c>
      <c r="P109" s="2">
        <v>1091.1379999999999</v>
      </c>
      <c r="Q109" s="2">
        <v>2243.971</v>
      </c>
      <c r="R109" s="2">
        <v>1900.672</v>
      </c>
    </row>
    <row r="110" spans="1:53" x14ac:dyDescent="0.2">
      <c r="A110" s="6" t="s">
        <v>57</v>
      </c>
      <c r="B110" s="2">
        <v>48.683999999999997</v>
      </c>
      <c r="C110" s="2">
        <v>48.921999999999997</v>
      </c>
      <c r="D110" s="2">
        <v>59.771999999999998</v>
      </c>
      <c r="E110" s="2">
        <v>62.399000000000001</v>
      </c>
      <c r="F110" s="2">
        <v>56.956000000000003</v>
      </c>
      <c r="G110" s="2">
        <v>56.15</v>
      </c>
      <c r="H110" s="2">
        <v>75.343000000000004</v>
      </c>
      <c r="I110" s="2">
        <v>77.001000000000005</v>
      </c>
      <c r="J110" s="2">
        <v>78.391000000000005</v>
      </c>
      <c r="K110" s="2">
        <v>81.784000000000006</v>
      </c>
      <c r="L110" s="2">
        <v>96.179000000000002</v>
      </c>
      <c r="M110" s="2">
        <v>132.90600000000001</v>
      </c>
      <c r="N110" s="2">
        <v>107.468</v>
      </c>
      <c r="O110" s="2">
        <v>106.221</v>
      </c>
      <c r="P110" s="2">
        <v>107.004</v>
      </c>
      <c r="Q110" s="2">
        <v>124.76900000000001</v>
      </c>
      <c r="R110" s="2">
        <v>126.349</v>
      </c>
    </row>
    <row r="111" spans="1:53" x14ac:dyDescent="0.2">
      <c r="A111" s="6" t="s">
        <v>44</v>
      </c>
      <c r="B111" s="2">
        <v>625.84900000000005</v>
      </c>
      <c r="C111" s="2">
        <v>672.77300000000002</v>
      </c>
      <c r="D111" s="2">
        <v>770.99</v>
      </c>
      <c r="E111" s="2">
        <v>647.23</v>
      </c>
      <c r="F111" s="2">
        <v>732.89</v>
      </c>
      <c r="G111" s="2">
        <v>789.83600000000001</v>
      </c>
      <c r="H111" s="2">
        <v>943.9</v>
      </c>
      <c r="I111" s="2">
        <v>966.48099999999999</v>
      </c>
      <c r="J111" s="2">
        <v>1275.04</v>
      </c>
      <c r="K111" s="2">
        <v>1462.076</v>
      </c>
      <c r="L111" s="2">
        <v>1741.7159999999999</v>
      </c>
      <c r="M111" s="2">
        <v>1447.367</v>
      </c>
      <c r="N111" s="2">
        <v>1580.3130000000001</v>
      </c>
      <c r="O111" s="2">
        <v>1660.7529999999999</v>
      </c>
      <c r="P111" s="2">
        <v>1663.617</v>
      </c>
      <c r="Q111" s="2">
        <v>1323.6020000000001</v>
      </c>
      <c r="R111" s="2">
        <v>1345.2670000000001</v>
      </c>
    </row>
    <row r="112" spans="1:53" x14ac:dyDescent="0.2">
      <c r="A112" s="6" t="s">
        <v>233</v>
      </c>
      <c r="R112" s="2">
        <f>192.955+202.844</f>
        <v>395.79899999999998</v>
      </c>
    </row>
    <row r="113" spans="1:18" x14ac:dyDescent="0.2">
      <c r="A113" s="6" t="s">
        <v>45</v>
      </c>
      <c r="B113" s="2">
        <v>659.26499999999999</v>
      </c>
      <c r="C113" s="2">
        <v>698.51400000000001</v>
      </c>
      <c r="D113" s="2">
        <v>719.88</v>
      </c>
      <c r="E113" s="2">
        <v>745.68700000000001</v>
      </c>
      <c r="F113" s="2">
        <v>774.68499999999995</v>
      </c>
      <c r="G113" s="2">
        <v>806.38699999999994</v>
      </c>
      <c r="H113" s="2">
        <v>876.48900000000003</v>
      </c>
      <c r="I113" s="2">
        <v>927.71</v>
      </c>
      <c r="J113" s="2">
        <v>974.78399999999999</v>
      </c>
      <c r="K113" s="2">
        <v>1059.8589999999999</v>
      </c>
      <c r="L113" s="2">
        <v>1122.49</v>
      </c>
      <c r="M113" s="2">
        <v>1269.614</v>
      </c>
      <c r="N113" s="2">
        <v>1312.7929999999999</v>
      </c>
      <c r="O113" s="2">
        <v>1367.172</v>
      </c>
      <c r="P113" s="2">
        <v>1413.9179999999999</v>
      </c>
      <c r="Q113" s="2">
        <v>1545.8109999999999</v>
      </c>
      <c r="R113" s="2">
        <v>1561.1849999999999</v>
      </c>
    </row>
    <row r="114" spans="1:18" x14ac:dyDescent="0.2">
      <c r="A114" s="6" t="s">
        <v>46</v>
      </c>
      <c r="B114" s="2">
        <v>731.88300000000004</v>
      </c>
      <c r="C114" s="2">
        <v>725.80499999999995</v>
      </c>
      <c r="D114" s="2">
        <v>714.08600000000001</v>
      </c>
      <c r="E114" s="2">
        <v>734.83500000000004</v>
      </c>
      <c r="F114" s="2">
        <v>719.13900000000001</v>
      </c>
      <c r="G114" s="2">
        <v>729.62099999999998</v>
      </c>
      <c r="H114" s="2">
        <v>789.38099999999997</v>
      </c>
      <c r="I114" s="2">
        <v>803.54300000000001</v>
      </c>
      <c r="J114" s="2">
        <v>819.99800000000005</v>
      </c>
      <c r="K114" s="2">
        <v>867.90099999999995</v>
      </c>
      <c r="L114" s="2">
        <v>946.68700000000001</v>
      </c>
      <c r="M114" s="2">
        <v>969.41899999999998</v>
      </c>
      <c r="N114" s="2">
        <v>993.471</v>
      </c>
      <c r="O114" s="2">
        <v>1079.1980000000001</v>
      </c>
      <c r="P114" s="2">
        <v>1048.607</v>
      </c>
      <c r="Q114" s="2">
        <v>1265.6099999999999</v>
      </c>
      <c r="R114" s="2">
        <v>1263.749</v>
      </c>
    </row>
    <row r="115" spans="1:18" x14ac:dyDescent="0.2">
      <c r="A115" s="6" t="s">
        <v>47</v>
      </c>
      <c r="B115" s="2">
        <v>24.044</v>
      </c>
      <c r="C115" s="2">
        <f>386.593+84.471</f>
        <v>471.06400000000002</v>
      </c>
      <c r="D115" s="2">
        <f>386.632+82.276</f>
        <v>468.90800000000002</v>
      </c>
      <c r="E115" s="2">
        <f>386.877+80.08</f>
        <v>466.95699999999999</v>
      </c>
      <c r="F115" s="2">
        <f>387.115+77.885</f>
        <v>465</v>
      </c>
      <c r="G115" s="2">
        <f>387.024+75.69</f>
        <v>462.714</v>
      </c>
      <c r="H115" s="2">
        <f>387.065+73.494</f>
        <v>460.55899999999997</v>
      </c>
      <c r="I115" s="2">
        <f>386.88+71.299</f>
        <v>458.17899999999997</v>
      </c>
      <c r="J115" s="2">
        <f>386.837+69.103</f>
        <v>455.94</v>
      </c>
      <c r="K115" s="2">
        <f>386.868+66.908</f>
        <v>453.77600000000001</v>
      </c>
      <c r="L115" s="2">
        <f>386.515+64.719</f>
        <v>451.23399999999998</v>
      </c>
      <c r="M115" s="2">
        <f>24.144+21.961</f>
        <v>46.104999999999997</v>
      </c>
      <c r="N115" s="2">
        <f>24.041+20.082</f>
        <v>44.123000000000005</v>
      </c>
      <c r="O115" s="2">
        <f>24.176+18.204</f>
        <v>42.379999999999995</v>
      </c>
      <c r="P115" s="2">
        <v>23.911999999999999</v>
      </c>
      <c r="Q115" s="2">
        <v>24.082999999999998</v>
      </c>
      <c r="R115" s="2">
        <v>23.992000000000001</v>
      </c>
    </row>
    <row r="116" spans="1:18" x14ac:dyDescent="0.2">
      <c r="A116" s="6" t="s">
        <v>58</v>
      </c>
      <c r="B116" s="2">
        <f>31.19+89.316</f>
        <v>120.506</v>
      </c>
      <c r="C116" s="2">
        <f>31.591+125.019</f>
        <v>156.61000000000001</v>
      </c>
      <c r="D116" s="2">
        <f>31.562+168.272</f>
        <v>199.834</v>
      </c>
      <c r="E116" s="2">
        <f>139.126+6.731</f>
        <v>145.857</v>
      </c>
      <c r="F116" s="2">
        <f>6.773+139.123</f>
        <v>145.89599999999999</v>
      </c>
      <c r="G116" s="2">
        <f>117.807+6.564</f>
        <v>124.37100000000001</v>
      </c>
      <c r="H116" s="2">
        <f>140.582+6.804</f>
        <v>147.386</v>
      </c>
      <c r="I116" s="2">
        <f>118.928+6.091</f>
        <v>125.01899999999999</v>
      </c>
      <c r="J116" s="2">
        <f>116.281+6.09</f>
        <v>122.37100000000001</v>
      </c>
      <c r="K116" s="2">
        <f>6.025+166.438</f>
        <v>172.46299999999999</v>
      </c>
      <c r="L116" s="2">
        <f>196.385+5.587</f>
        <v>201.97199999999998</v>
      </c>
      <c r="M116" s="2">
        <f>185.641+6.402</f>
        <v>192.04299999999998</v>
      </c>
      <c r="N116" s="2">
        <f>182.393+6.13</f>
        <v>188.523</v>
      </c>
      <c r="O116" s="2">
        <f>224.916+6.188</f>
        <v>231.10399999999998</v>
      </c>
      <c r="P116" s="2">
        <f>300.258+5.896</f>
        <v>306.154</v>
      </c>
      <c r="Q116" s="2">
        <f>183.733+9.176</f>
        <v>192.90899999999999</v>
      </c>
      <c r="R116" s="2">
        <v>9.0990000000000002</v>
      </c>
    </row>
    <row r="117" spans="1:18" x14ac:dyDescent="0.2">
      <c r="A117" s="6" t="s">
        <v>53</v>
      </c>
      <c r="B117" s="2">
        <f>107.69+60.859</f>
        <v>168.54900000000001</v>
      </c>
      <c r="C117" s="2">
        <f>120.043+77.298</f>
        <v>197.34100000000001</v>
      </c>
      <c r="D117" s="2">
        <f>120.198+92.671</f>
        <v>212.869</v>
      </c>
      <c r="E117" s="2">
        <f>125.107+106.626</f>
        <v>231.733</v>
      </c>
      <c r="F117" s="2">
        <f>144.744+110.782</f>
        <v>255.52600000000001</v>
      </c>
      <c r="G117" s="2">
        <f>141.473+124.505</f>
        <v>265.97800000000001</v>
      </c>
      <c r="H117" s="2">
        <f>157.878+127.48</f>
        <v>285.358</v>
      </c>
      <c r="I117" s="2">
        <f>192.572+132.102</f>
        <v>324.67399999999998</v>
      </c>
      <c r="J117" s="2">
        <f>184.512+137.16</f>
        <v>321.67200000000003</v>
      </c>
      <c r="K117" s="2">
        <f>177.965+146.056</f>
        <v>324.02100000000002</v>
      </c>
      <c r="L117" s="2">
        <f>247.277+149.257</f>
        <v>396.53399999999999</v>
      </c>
      <c r="M117" s="2">
        <f>238.672+156.045</f>
        <v>394.71699999999998</v>
      </c>
      <c r="N117" s="2">
        <f>232.521+161.725</f>
        <v>394.24599999999998</v>
      </c>
      <c r="O117" s="2">
        <f>224.513+173.587</f>
        <v>398.1</v>
      </c>
      <c r="P117" s="2">
        <f>202.882+165.032</f>
        <v>367.91399999999999</v>
      </c>
      <c r="Q117" s="2">
        <f>184.502+186.684</f>
        <v>371.18600000000004</v>
      </c>
      <c r="R117" s="2">
        <v>202.38300000000001</v>
      </c>
    </row>
    <row r="118" spans="1:18" s="9" customFormat="1" x14ac:dyDescent="0.2">
      <c r="A118" s="10" t="s">
        <v>48</v>
      </c>
      <c r="B118" s="9">
        <f t="shared" ref="B118:R118" si="81">SUM(B109:B117)</f>
        <v>3201.7859999999996</v>
      </c>
      <c r="C118" s="9">
        <f t="shared" si="81"/>
        <v>3494.027</v>
      </c>
      <c r="D118" s="9">
        <f t="shared" si="81"/>
        <v>3627.92</v>
      </c>
      <c r="E118" s="9">
        <f t="shared" si="81"/>
        <v>4185.2150000000001</v>
      </c>
      <c r="F118" s="9">
        <f t="shared" si="81"/>
        <v>4329.8310000000001</v>
      </c>
      <c r="G118" s="9">
        <f t="shared" si="81"/>
        <v>4405.098</v>
      </c>
      <c r="H118" s="9">
        <f t="shared" si="81"/>
        <v>4572.0070000000005</v>
      </c>
      <c r="I118" s="9">
        <f t="shared" si="81"/>
        <v>4942.4780000000001</v>
      </c>
      <c r="J118" s="9">
        <f t="shared" si="81"/>
        <v>4697.2119999999995</v>
      </c>
      <c r="K118" s="9">
        <f t="shared" si="81"/>
        <v>4920.8109999999997</v>
      </c>
      <c r="L118" s="9">
        <f t="shared" si="81"/>
        <v>5309.4359999999997</v>
      </c>
      <c r="M118" s="9">
        <f t="shared" si="81"/>
        <v>5607.0379999999986</v>
      </c>
      <c r="N118" s="9">
        <f t="shared" si="81"/>
        <v>5571.5439999999999</v>
      </c>
      <c r="O118" s="9">
        <f t="shared" si="81"/>
        <v>5992.4580000000005</v>
      </c>
      <c r="P118" s="9">
        <f t="shared" si="81"/>
        <v>6022.2640000000001</v>
      </c>
      <c r="Q118" s="9">
        <f t="shared" si="81"/>
        <v>7091.940999999998</v>
      </c>
      <c r="R118" s="9">
        <f t="shared" si="81"/>
        <v>6828.4949999999999</v>
      </c>
    </row>
    <row r="119" spans="1:18" x14ac:dyDescent="0.2">
      <c r="A119" s="6" t="s">
        <v>49</v>
      </c>
      <c r="B119" s="2">
        <v>78.94</v>
      </c>
      <c r="C119" s="2">
        <v>122.767</v>
      </c>
      <c r="D119" s="2">
        <v>160.779</v>
      </c>
      <c r="E119" s="2">
        <v>172.24600000000001</v>
      </c>
      <c r="F119" s="2">
        <v>196.934</v>
      </c>
      <c r="G119" s="2">
        <v>203.54599999999999</v>
      </c>
      <c r="H119" s="2">
        <v>227.06700000000001</v>
      </c>
      <c r="I119" s="2">
        <v>289.72800000000001</v>
      </c>
      <c r="J119" s="2">
        <v>308.08600000000001</v>
      </c>
      <c r="K119" s="2">
        <v>259.92700000000002</v>
      </c>
      <c r="L119" s="2">
        <v>300.87</v>
      </c>
      <c r="M119" s="2">
        <v>172.732</v>
      </c>
      <c r="N119" s="2">
        <v>287.464</v>
      </c>
      <c r="O119" s="2">
        <v>298.91399999999999</v>
      </c>
      <c r="P119" s="2">
        <v>309.32400000000001</v>
      </c>
      <c r="Q119" s="2">
        <v>348.44099999999997</v>
      </c>
      <c r="R119" s="2">
        <v>261.60500000000002</v>
      </c>
    </row>
    <row r="120" spans="1:18" x14ac:dyDescent="0.2">
      <c r="A120" s="6" t="s">
        <v>50</v>
      </c>
      <c r="B120" s="2">
        <v>9.86</v>
      </c>
      <c r="C120" s="2">
        <f>177.436+31.675</f>
        <v>209.11100000000002</v>
      </c>
      <c r="D120" s="2">
        <f>190.366+10.654</f>
        <v>201.02</v>
      </c>
      <c r="E120" s="2">
        <f>211.911+14.956</f>
        <v>226.86699999999999</v>
      </c>
      <c r="F120" s="2">
        <f>258.642+9.356</f>
        <v>267.99799999999999</v>
      </c>
      <c r="G120" s="2">
        <f>269.024+33.316</f>
        <v>302.34000000000003</v>
      </c>
      <c r="H120" s="2">
        <f>314.394+10.038</f>
        <v>324.43200000000002</v>
      </c>
      <c r="I120" s="2">
        <v>330.8</v>
      </c>
      <c r="J120" s="2">
        <v>362.93799999999999</v>
      </c>
      <c r="K120" s="2">
        <v>345.10500000000002</v>
      </c>
      <c r="L120" s="2">
        <v>357.36500000000001</v>
      </c>
      <c r="M120" s="2">
        <v>399.22300000000001</v>
      </c>
      <c r="N120" s="2">
        <v>342.75099999999998</v>
      </c>
      <c r="O120" s="2">
        <v>399.178</v>
      </c>
      <c r="P120" s="2">
        <v>392.94900000000001</v>
      </c>
      <c r="Q120" s="2">
        <v>348.55500000000001</v>
      </c>
      <c r="R120" s="2">
        <v>374.44600000000003</v>
      </c>
    </row>
    <row r="121" spans="1:18" x14ac:dyDescent="0.2">
      <c r="A121" s="6" t="s">
        <v>51</v>
      </c>
      <c r="B121" s="2">
        <v>69.454999999999998</v>
      </c>
      <c r="C121" s="2">
        <v>84.102000000000004</v>
      </c>
      <c r="D121" s="2">
        <v>96.527000000000001</v>
      </c>
      <c r="E121" s="2">
        <v>130.17099999999999</v>
      </c>
      <c r="F121" s="2">
        <v>154.72900000000001</v>
      </c>
      <c r="G121" s="2">
        <v>150.33099999999999</v>
      </c>
      <c r="H121" s="2">
        <v>181.863</v>
      </c>
      <c r="I121" s="2">
        <v>204.92099999999999</v>
      </c>
      <c r="J121" s="2">
        <v>119.482</v>
      </c>
      <c r="K121" s="2">
        <v>153.381</v>
      </c>
      <c r="L121" s="2">
        <v>184.12200000000001</v>
      </c>
      <c r="M121" s="2">
        <v>248.167</v>
      </c>
      <c r="N121" s="2">
        <v>125.053</v>
      </c>
      <c r="O121" s="2">
        <v>192.28899999999999</v>
      </c>
      <c r="P121" s="2">
        <v>250.47900000000001</v>
      </c>
      <c r="Q121" s="2">
        <v>326.11</v>
      </c>
      <c r="R121" s="2">
        <v>132.911</v>
      </c>
    </row>
    <row r="122" spans="1:18" x14ac:dyDescent="0.2">
      <c r="A122" s="6" t="s">
        <v>46</v>
      </c>
      <c r="B122" s="2">
        <f>144.646+639.242</f>
        <v>783.88799999999992</v>
      </c>
      <c r="C122" s="2">
        <f>147.941+632.646</f>
        <v>780.58699999999999</v>
      </c>
      <c r="D122" s="2">
        <f>138.082+635.386</f>
        <v>773.46799999999996</v>
      </c>
      <c r="E122" s="2">
        <f>166.091+632.59</f>
        <v>798.68100000000004</v>
      </c>
      <c r="F122" s="2">
        <f>168.145+616.917</f>
        <v>785.06200000000001</v>
      </c>
      <c r="G122" s="2">
        <f>150.087+644.734</f>
        <v>794.82100000000003</v>
      </c>
      <c r="H122" s="2">
        <f>175.445+684.46</f>
        <v>859.90499999999997</v>
      </c>
      <c r="I122" s="2">
        <f>188.996+692.056</f>
        <v>881.05200000000002</v>
      </c>
      <c r="J122" s="2">
        <f>178.273+726.27</f>
        <v>904.54300000000001</v>
      </c>
      <c r="K122" s="2">
        <f>196.259+757.865</f>
        <v>954.12400000000002</v>
      </c>
      <c r="L122" s="2">
        <f>188.11+850.171</f>
        <v>1038.2809999999999</v>
      </c>
      <c r="M122" s="2">
        <f>207.972+862.362</f>
        <v>1070.3340000000001</v>
      </c>
      <c r="N122" s="2">
        <f>210.506+888.582</f>
        <v>1099.088</v>
      </c>
      <c r="O122" s="2">
        <f>216.837+976.736</f>
        <v>1193.5729999999999</v>
      </c>
      <c r="P122" s="2">
        <f>217.138+950.954</f>
        <v>1168.0919999999999</v>
      </c>
      <c r="Q122" s="2">
        <f>249.27+1154.012</f>
        <v>1403.2819999999999</v>
      </c>
      <c r="R122" s="2">
        <f>254.443+1147.631</f>
        <v>1402.0740000000001</v>
      </c>
    </row>
    <row r="123" spans="1:18" x14ac:dyDescent="0.2">
      <c r="A123" s="6" t="s">
        <v>16</v>
      </c>
      <c r="B123" s="2">
        <f>28.729+48.226</f>
        <v>76.954999999999998</v>
      </c>
      <c r="C123" s="2">
        <f>75.153+43.15</f>
        <v>118.303</v>
      </c>
      <c r="D123" s="2">
        <f>5.818+43.15</f>
        <v>48.967999999999996</v>
      </c>
      <c r="E123" s="2">
        <f>8.357+43.15</f>
        <v>51.506999999999998</v>
      </c>
      <c r="F123" s="2">
        <f>7.997+38.073</f>
        <v>46.07</v>
      </c>
      <c r="G123" s="2">
        <f>13.743+38.073</f>
        <v>51.816000000000003</v>
      </c>
      <c r="H123" s="2">
        <f>43.199+38.073</f>
        <v>81.271999999999991</v>
      </c>
      <c r="I123" s="2">
        <f>133.852+38.074</f>
        <v>171.92599999999999</v>
      </c>
      <c r="J123" s="2">
        <f>22.279+28.555</f>
        <v>50.834000000000003</v>
      </c>
      <c r="K123" s="2">
        <f>50.815+28.555</f>
        <v>79.37</v>
      </c>
      <c r="L123" s="2">
        <f>80.947+28.555</f>
        <v>109.50200000000001</v>
      </c>
      <c r="M123" s="2">
        <f>174.221+28.555</f>
        <v>202.77600000000001</v>
      </c>
      <c r="N123" s="2">
        <f>30.213+28.555</f>
        <v>58.768000000000001</v>
      </c>
      <c r="O123" s="2">
        <f>20.576+15.864</f>
        <v>36.44</v>
      </c>
      <c r="P123" s="2">
        <f>27.231+15.864</f>
        <v>43.094999999999999</v>
      </c>
      <c r="Q123" s="2">
        <f>12.098+15.864</f>
        <v>27.962000000000003</v>
      </c>
      <c r="R123" s="2">
        <f>53.087+15.864</f>
        <v>68.951000000000008</v>
      </c>
    </row>
    <row r="124" spans="1:18" x14ac:dyDescent="0.2">
      <c r="A124" s="6" t="s">
        <v>52</v>
      </c>
      <c r="B124" s="2">
        <v>105.286</v>
      </c>
      <c r="C124" s="2">
        <v>106.425</v>
      </c>
      <c r="D124" s="2">
        <v>104.76</v>
      </c>
      <c r="E124" s="2">
        <v>155.84800000000001</v>
      </c>
      <c r="F124" s="2">
        <v>141.149</v>
      </c>
      <c r="G124" s="2">
        <v>137.02099999999999</v>
      </c>
      <c r="H124" s="2">
        <v>137.65600000000001</v>
      </c>
      <c r="I124" s="2">
        <v>208.19499999999999</v>
      </c>
      <c r="J124" s="2">
        <v>183.91</v>
      </c>
      <c r="K124" s="2">
        <v>172.666</v>
      </c>
      <c r="L124" s="2">
        <v>171.65899999999999</v>
      </c>
      <c r="M124" s="2">
        <v>251.47800000000001</v>
      </c>
      <c r="N124" s="2">
        <v>223.97</v>
      </c>
      <c r="O124" s="2">
        <v>216.11600000000001</v>
      </c>
      <c r="P124" s="2">
        <v>213.256</v>
      </c>
      <c r="Q124" s="2">
        <v>306.47899999999998</v>
      </c>
      <c r="R124" s="2">
        <v>268.29599999999999</v>
      </c>
    </row>
    <row r="125" spans="1:18" x14ac:dyDescent="0.2">
      <c r="A125" s="6" t="s">
        <v>58</v>
      </c>
      <c r="B125" s="2">
        <v>40.764000000000003</v>
      </c>
      <c r="C125" s="2">
        <v>46.901000000000003</v>
      </c>
      <c r="D125" s="2">
        <v>47.198999999999998</v>
      </c>
      <c r="E125" s="2">
        <v>58.755000000000003</v>
      </c>
      <c r="F125" s="2">
        <v>60.807000000000002</v>
      </c>
      <c r="G125" s="2">
        <v>60.01</v>
      </c>
      <c r="H125" s="2">
        <v>60.374000000000002</v>
      </c>
      <c r="I125" s="2">
        <v>53.351999999999997</v>
      </c>
      <c r="J125" s="2">
        <v>53.061</v>
      </c>
      <c r="K125" s="2">
        <v>53.271000000000001</v>
      </c>
      <c r="L125" s="2">
        <v>50.884</v>
      </c>
      <c r="M125" s="2">
        <v>55.084000000000003</v>
      </c>
      <c r="N125" s="2">
        <v>54.533000000000001</v>
      </c>
      <c r="O125" s="2">
        <v>55.258000000000003</v>
      </c>
      <c r="P125" s="2">
        <v>53.832999999999998</v>
      </c>
      <c r="Q125" s="2">
        <v>29.521999999999998</v>
      </c>
      <c r="R125" s="2">
        <v>29.15</v>
      </c>
    </row>
    <row r="126" spans="1:18" x14ac:dyDescent="0.2">
      <c r="A126" s="6" t="s">
        <v>53</v>
      </c>
      <c r="B126" s="2">
        <f>194.58+6.271</f>
        <v>200.851</v>
      </c>
      <c r="C126" s="2">
        <f>17.81+6.919</f>
        <v>24.728999999999999</v>
      </c>
      <c r="D126" s="2">
        <f>8.354+23.892</f>
        <v>32.245999999999995</v>
      </c>
      <c r="E126" s="2">
        <f>23.598+8.976</f>
        <v>32.573999999999998</v>
      </c>
      <c r="F126" s="2">
        <f>27.862+9.365</f>
        <v>37.226999999999997</v>
      </c>
      <c r="G126" s="2">
        <f>24.286+9.761</f>
        <v>34.046999999999997</v>
      </c>
      <c r="H126" s="2">
        <f>28.358+12.625</f>
        <v>40.983000000000004</v>
      </c>
      <c r="I126" s="2">
        <f>48.842+13.616</f>
        <v>62.457999999999998</v>
      </c>
      <c r="J126" s="2">
        <f>31.923+14.385</f>
        <v>46.308</v>
      </c>
      <c r="K126" s="2">
        <f>29.057+16.012</f>
        <v>45.069000000000003</v>
      </c>
      <c r="L126" s="2">
        <f>39.762+17.585</f>
        <v>57.347000000000001</v>
      </c>
      <c r="M126" s="2">
        <f>38.405+20.04</f>
        <v>58.445</v>
      </c>
      <c r="N126" s="2">
        <f>36.814+23.027</f>
        <v>59.841000000000001</v>
      </c>
      <c r="O126" s="2">
        <f>42.46+24.748</f>
        <v>67.207999999999998</v>
      </c>
      <c r="P126" s="2">
        <f>37.737+27.65</f>
        <v>65.387</v>
      </c>
      <c r="Q126" s="2">
        <f>40.308+29.201</f>
        <v>69.509</v>
      </c>
      <c r="R126" s="2">
        <f>38.783+32.471</f>
        <v>71.253999999999991</v>
      </c>
    </row>
    <row r="127" spans="1:18" s="9" customFormat="1" x14ac:dyDescent="0.2">
      <c r="A127" s="10" t="s">
        <v>54</v>
      </c>
      <c r="B127" s="9">
        <f t="shared" ref="B127:Q127" si="82">SUM(B119:B126)</f>
        <v>1365.9989999999998</v>
      </c>
      <c r="C127" s="9">
        <f t="shared" si="82"/>
        <v>1492.925</v>
      </c>
      <c r="D127" s="9">
        <f t="shared" si="82"/>
        <v>1464.9670000000001</v>
      </c>
      <c r="E127" s="9">
        <f t="shared" si="82"/>
        <v>1626.6490000000003</v>
      </c>
      <c r="F127" s="9">
        <f t="shared" si="82"/>
        <v>1689.9760000000001</v>
      </c>
      <c r="G127" s="9">
        <f t="shared" si="82"/>
        <v>1733.932</v>
      </c>
      <c r="H127" s="9">
        <f t="shared" si="82"/>
        <v>1913.5519999999999</v>
      </c>
      <c r="I127" s="9">
        <f t="shared" si="82"/>
        <v>2202.4320000000002</v>
      </c>
      <c r="J127" s="9">
        <f t="shared" si="82"/>
        <v>2029.162</v>
      </c>
      <c r="K127" s="9">
        <f t="shared" si="82"/>
        <v>2062.913</v>
      </c>
      <c r="L127" s="9">
        <f t="shared" si="82"/>
        <v>2270.0300000000002</v>
      </c>
      <c r="M127" s="9">
        <f t="shared" si="82"/>
        <v>2458.239</v>
      </c>
      <c r="N127" s="9">
        <f t="shared" si="82"/>
        <v>2251.4679999999994</v>
      </c>
      <c r="O127" s="9">
        <f t="shared" si="82"/>
        <v>2458.9759999999997</v>
      </c>
      <c r="P127" s="9">
        <f t="shared" si="82"/>
        <v>2496.415</v>
      </c>
      <c r="Q127" s="9">
        <f t="shared" si="82"/>
        <v>2859.8599999999997</v>
      </c>
      <c r="R127" s="9">
        <f t="shared" ref="R127" si="83">SUM(R119:R126)</f>
        <v>2608.6869999999999</v>
      </c>
    </row>
    <row r="128" spans="1:18" x14ac:dyDescent="0.2">
      <c r="A128" s="6" t="s">
        <v>55</v>
      </c>
      <c r="B128" s="2">
        <f t="shared" ref="B128:Q128" si="84">+B118-B127</f>
        <v>1835.7869999999998</v>
      </c>
      <c r="C128" s="2">
        <f t="shared" si="84"/>
        <v>2001.1020000000001</v>
      </c>
      <c r="D128" s="2">
        <f t="shared" si="84"/>
        <v>2162.953</v>
      </c>
      <c r="E128" s="2">
        <f t="shared" si="84"/>
        <v>2558.5659999999998</v>
      </c>
      <c r="F128" s="2">
        <f t="shared" si="84"/>
        <v>2639.855</v>
      </c>
      <c r="G128" s="2">
        <f t="shared" si="84"/>
        <v>2671.1660000000002</v>
      </c>
      <c r="H128" s="2">
        <f t="shared" si="84"/>
        <v>2658.4550000000008</v>
      </c>
      <c r="I128" s="2">
        <f t="shared" si="84"/>
        <v>2740.0459999999998</v>
      </c>
      <c r="J128" s="2">
        <f t="shared" si="84"/>
        <v>2668.0499999999993</v>
      </c>
      <c r="K128" s="2">
        <f t="shared" si="84"/>
        <v>2857.8979999999997</v>
      </c>
      <c r="L128" s="2">
        <f t="shared" si="84"/>
        <v>3039.4059999999995</v>
      </c>
      <c r="M128" s="2">
        <f t="shared" si="84"/>
        <v>3148.7989999999986</v>
      </c>
      <c r="N128" s="2">
        <f t="shared" si="84"/>
        <v>3320.0760000000005</v>
      </c>
      <c r="O128" s="2">
        <f t="shared" si="84"/>
        <v>3533.4820000000009</v>
      </c>
      <c r="P128" s="2">
        <f t="shared" si="84"/>
        <v>3525.8490000000002</v>
      </c>
      <c r="Q128" s="2">
        <f t="shared" si="84"/>
        <v>4232.0809999999983</v>
      </c>
      <c r="R128" s="2">
        <f t="shared" ref="R128" si="85">+R118-R127</f>
        <v>4219.808</v>
      </c>
    </row>
    <row r="129" spans="1:18" x14ac:dyDescent="0.2">
      <c r="A129" s="6" t="s">
        <v>56</v>
      </c>
      <c r="B129" s="2">
        <f t="shared" ref="B129:Q129" si="86">+B127+B128</f>
        <v>3201.7859999999996</v>
      </c>
      <c r="C129" s="2">
        <f t="shared" si="86"/>
        <v>3494.027</v>
      </c>
      <c r="D129" s="2">
        <f t="shared" si="86"/>
        <v>3627.92</v>
      </c>
      <c r="E129" s="2">
        <f t="shared" si="86"/>
        <v>4185.2150000000001</v>
      </c>
      <c r="F129" s="2">
        <f t="shared" si="86"/>
        <v>4329.8310000000001</v>
      </c>
      <c r="G129" s="2">
        <f t="shared" si="86"/>
        <v>4405.098</v>
      </c>
      <c r="H129" s="2">
        <f t="shared" si="86"/>
        <v>4572.0070000000005</v>
      </c>
      <c r="I129" s="2">
        <f t="shared" si="86"/>
        <v>4942.4780000000001</v>
      </c>
      <c r="J129" s="2">
        <f t="shared" si="86"/>
        <v>4697.2119999999995</v>
      </c>
      <c r="K129" s="2">
        <f t="shared" si="86"/>
        <v>4920.8109999999997</v>
      </c>
      <c r="L129" s="2">
        <f t="shared" si="86"/>
        <v>5309.4359999999997</v>
      </c>
      <c r="M129" s="2">
        <f t="shared" si="86"/>
        <v>5607.0379999999986</v>
      </c>
      <c r="N129" s="2">
        <f t="shared" si="86"/>
        <v>5571.5439999999999</v>
      </c>
      <c r="O129" s="2">
        <f t="shared" si="86"/>
        <v>5992.4580000000005</v>
      </c>
      <c r="P129" s="2">
        <f t="shared" si="86"/>
        <v>6022.2640000000001</v>
      </c>
      <c r="Q129" s="2">
        <f t="shared" si="86"/>
        <v>7091.940999999998</v>
      </c>
      <c r="R129" s="2">
        <f t="shared" ref="R129" si="87">+R127+R128</f>
        <v>6828.4949999999999</v>
      </c>
    </row>
    <row r="130" spans="1:18" x14ac:dyDescent="0.2">
      <c r="A130" s="6"/>
    </row>
    <row r="131" spans="1:18" x14ac:dyDescent="0.2">
      <c r="A131" s="6" t="s">
        <v>234</v>
      </c>
      <c r="E131" s="2">
        <f t="shared" ref="E131:R131" si="88">+SUM(B96:E96)</f>
        <v>623.91699999999992</v>
      </c>
      <c r="F131" s="2">
        <f t="shared" si="88"/>
        <v>748.03199999999993</v>
      </c>
      <c r="G131" s="2">
        <f t="shared" si="88"/>
        <v>867.43199999999979</v>
      </c>
      <c r="H131" s="2">
        <f t="shared" si="88"/>
        <v>927.17299999999989</v>
      </c>
      <c r="I131" s="2">
        <f t="shared" si="88"/>
        <v>1025.4979999999998</v>
      </c>
      <c r="J131" s="2">
        <f t="shared" si="88"/>
        <v>1062.8759999999997</v>
      </c>
      <c r="K131" s="2">
        <f t="shared" si="88"/>
        <v>1125.9999999999998</v>
      </c>
      <c r="L131" s="2">
        <f t="shared" si="88"/>
        <v>1169.5489999999998</v>
      </c>
      <c r="M131" s="2">
        <f t="shared" si="88"/>
        <v>1261.2849999999996</v>
      </c>
      <c r="N131" s="2">
        <f t="shared" si="88"/>
        <v>1361.3749999999995</v>
      </c>
      <c r="O131" s="2">
        <f t="shared" si="88"/>
        <v>1423.3209999999995</v>
      </c>
      <c r="P131" s="2">
        <f t="shared" si="88"/>
        <v>1490.1299999999992</v>
      </c>
      <c r="Q131" s="2">
        <f t="shared" si="88"/>
        <v>1629.7009999999996</v>
      </c>
      <c r="R131" s="2">
        <f t="shared" si="88"/>
        <v>1658.8389999999999</v>
      </c>
    </row>
    <row r="132" spans="1:18" s="6" customFormat="1" x14ac:dyDescent="0.2">
      <c r="A132" s="6" t="s">
        <v>223</v>
      </c>
      <c r="E132" s="6">
        <f t="shared" ref="E132:Q132" si="89">+E131/(E110+E111+E112+E113+E114+E116+E117)</f>
        <v>0.24298283978018029</v>
      </c>
      <c r="F132" s="6">
        <f t="shared" si="89"/>
        <v>0.2785871024158576</v>
      </c>
      <c r="G132" s="6">
        <f t="shared" si="89"/>
        <v>0.31288769102524461</v>
      </c>
      <c r="H132" s="6">
        <f t="shared" si="89"/>
        <v>0.29737508808133273</v>
      </c>
      <c r="I132" s="6">
        <f t="shared" si="89"/>
        <v>0.31804028497457532</v>
      </c>
      <c r="J132" s="6">
        <f t="shared" si="89"/>
        <v>0.29587980366655375</v>
      </c>
      <c r="K132" s="6">
        <f t="shared" si="89"/>
        <v>0.28376272396086383</v>
      </c>
      <c r="L132" s="6">
        <f t="shared" si="89"/>
        <v>0.25957801640544231</v>
      </c>
      <c r="M132" s="6">
        <f t="shared" si="89"/>
        <v>0.28626103195004332</v>
      </c>
      <c r="N132" s="6">
        <f t="shared" si="89"/>
        <v>0.29745036612805315</v>
      </c>
      <c r="O132" s="6">
        <f t="shared" si="89"/>
        <v>0.29391985376293622</v>
      </c>
      <c r="P132" s="6">
        <f t="shared" si="89"/>
        <v>0.30366109976047501</v>
      </c>
      <c r="Q132" s="6">
        <f t="shared" si="89"/>
        <v>0.33783979599853808</v>
      </c>
      <c r="R132" s="6">
        <f>+R131/(R110+R111+R112+R113+R114+R116+R117)</f>
        <v>0.338274096313678</v>
      </c>
    </row>
    <row r="134" spans="1:18" x14ac:dyDescent="0.2">
      <c r="A134" s="6" t="s">
        <v>60</v>
      </c>
      <c r="B134" s="2">
        <f t="shared" ref="B134:R134" si="90">+B96</f>
        <v>30.69999999999996</v>
      </c>
      <c r="C134" s="2">
        <f t="shared" si="90"/>
        <v>99.012000000000057</v>
      </c>
      <c r="D134" s="2">
        <f t="shared" si="90"/>
        <v>154.36899999999989</v>
      </c>
      <c r="E134" s="2">
        <f t="shared" si="90"/>
        <v>339.83600000000001</v>
      </c>
      <c r="F134" s="2">
        <f t="shared" si="90"/>
        <v>154.81499999999994</v>
      </c>
      <c r="G134" s="2">
        <f t="shared" si="90"/>
        <v>218.41199999999992</v>
      </c>
      <c r="H134" s="2">
        <f t="shared" si="90"/>
        <v>214.10999999999999</v>
      </c>
      <c r="I134" s="2">
        <f t="shared" si="90"/>
        <v>438.16099999999989</v>
      </c>
      <c r="J134" s="2">
        <f t="shared" si="90"/>
        <v>192.19299999999993</v>
      </c>
      <c r="K134" s="2">
        <f t="shared" si="90"/>
        <v>281.53600000000006</v>
      </c>
      <c r="L134" s="2">
        <f t="shared" si="90"/>
        <v>257.65899999999988</v>
      </c>
      <c r="M134" s="2">
        <f t="shared" si="90"/>
        <v>529.89699999999971</v>
      </c>
      <c r="N134" s="2">
        <f t="shared" si="90"/>
        <v>292.28299999999979</v>
      </c>
      <c r="O134" s="2">
        <f t="shared" si="90"/>
        <v>343.48199999999997</v>
      </c>
      <c r="P134" s="2">
        <f t="shared" si="90"/>
        <v>324.46799999999979</v>
      </c>
      <c r="Q134" s="2">
        <f t="shared" si="90"/>
        <v>669.46800000000007</v>
      </c>
      <c r="R134" s="2">
        <f t="shared" si="90"/>
        <v>321.42100000000016</v>
      </c>
    </row>
    <row r="135" spans="1:18" x14ac:dyDescent="0.2">
      <c r="A135" s="6" t="s">
        <v>61</v>
      </c>
      <c r="B135" s="2">
        <v>28.632000000000001</v>
      </c>
      <c r="C135" s="2">
        <f>115.433-B135</f>
        <v>86.801000000000002</v>
      </c>
      <c r="D135" s="2">
        <f>259.076-SUM(B135:C135)</f>
        <v>143.64300000000003</v>
      </c>
      <c r="E135" s="2">
        <f>588.913-SUM(B135:D135)</f>
        <v>329.83699999999999</v>
      </c>
      <c r="F135" s="2">
        <v>144.95599999999999</v>
      </c>
      <c r="G135" s="2">
        <f>353.03-F135</f>
        <v>208.07399999999998</v>
      </c>
      <c r="H135" s="2">
        <f>540.818-SUM(F135:G135)</f>
        <v>187.78800000000001</v>
      </c>
      <c r="I135" s="2">
        <f>975.322-SUM(F135:H135)</f>
        <v>434.50400000000002</v>
      </c>
      <c r="J135" s="2">
        <v>189.99799999999999</v>
      </c>
      <c r="K135" s="2">
        <f>479.519-J135</f>
        <v>289.52100000000002</v>
      </c>
      <c r="L135" s="2">
        <f>734.989-SUM(J135:K135)</f>
        <v>255.47000000000003</v>
      </c>
      <c r="M135" s="2">
        <f>854.8-SUM(J135:L135)</f>
        <v>119.81099999999992</v>
      </c>
      <c r="N135" s="2">
        <v>290.40499999999997</v>
      </c>
      <c r="O135" s="2">
        <f>632.008-N135</f>
        <v>341.60300000000007</v>
      </c>
      <c r="P135" s="2">
        <f>880.722-SUM(N135:O135)</f>
        <v>248.71399999999994</v>
      </c>
      <c r="Q135" s="2">
        <f>1550.19-SUM(N135:P135)</f>
        <v>669.46800000000007</v>
      </c>
      <c r="R135" s="2">
        <v>321.42099999999999</v>
      </c>
    </row>
    <row r="136" spans="1:18" x14ac:dyDescent="0.2">
      <c r="A136" s="6" t="s">
        <v>62</v>
      </c>
      <c r="B136" s="2">
        <v>43.531999999999996</v>
      </c>
      <c r="C136" s="2">
        <f>84.176-B136</f>
        <v>40.644000000000005</v>
      </c>
      <c r="D136" s="2">
        <f>133.209-SUM(B136:C136)</f>
        <v>49.033000000000001</v>
      </c>
      <c r="E136" s="2">
        <f>185.478-SUM(B136:D136)</f>
        <v>52.269000000000005</v>
      </c>
      <c r="F136" s="2">
        <v>50.484999999999999</v>
      </c>
      <c r="G136" s="2">
        <f>104.123-F136</f>
        <v>53.638000000000005</v>
      </c>
      <c r="H136" s="2">
        <f>162.086-SUM(F136:G136)</f>
        <v>57.963000000000008</v>
      </c>
      <c r="I136" s="2">
        <f>224.206-SUM(F136:H136)</f>
        <v>62.119999999999976</v>
      </c>
      <c r="J136" s="2">
        <v>64.47</v>
      </c>
      <c r="K136" s="2">
        <f>132.441-J136</f>
        <v>67.971000000000004</v>
      </c>
      <c r="L136" s="2">
        <f>211.629-SUM(J136:K136)</f>
        <v>79.187999999999988</v>
      </c>
      <c r="M136" s="2">
        <f>291.791-SUM(J136:L136)</f>
        <v>80.162000000000006</v>
      </c>
      <c r="N136" s="2">
        <v>84.116</v>
      </c>
      <c r="O136" s="2">
        <f>178.125-N136</f>
        <v>94.009</v>
      </c>
      <c r="P136" s="2">
        <f>276.094-SUM(N136:O136)</f>
        <v>97.968999999999994</v>
      </c>
      <c r="Q136" s="2">
        <f>379.384-SUM(N136:P136)</f>
        <v>103.29000000000002</v>
      </c>
      <c r="R136" s="2">
        <v>95.759</v>
      </c>
    </row>
    <row r="137" spans="1:18" x14ac:dyDescent="0.2">
      <c r="A137" s="6" t="s">
        <v>88</v>
      </c>
      <c r="N137" s="2">
        <v>0</v>
      </c>
      <c r="O137" s="2">
        <v>0</v>
      </c>
      <c r="P137" s="2">
        <v>23.709</v>
      </c>
      <c r="Q137" s="2">
        <f>23.709-SUM(N137:P137)</f>
        <v>0</v>
      </c>
      <c r="R137" s="2">
        <v>0</v>
      </c>
    </row>
    <row r="138" spans="1:18" x14ac:dyDescent="0.2">
      <c r="A138" s="6" t="s">
        <v>87</v>
      </c>
      <c r="B138" s="2">
        <v>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407.91300000000001</v>
      </c>
      <c r="N138" s="2">
        <v>0</v>
      </c>
      <c r="O138" s="2">
        <v>0</v>
      </c>
      <c r="P138" s="2">
        <f>74.501-SUM(N138:O138)</f>
        <v>74.501000000000005</v>
      </c>
      <c r="Q138" s="2">
        <f>74.501-SUM(N138:P138)</f>
        <v>0</v>
      </c>
      <c r="R138" s="2">
        <v>0</v>
      </c>
    </row>
    <row r="139" spans="1:18" x14ac:dyDescent="0.2">
      <c r="A139" s="6" t="s">
        <v>86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-10.18</v>
      </c>
      <c r="L139" s="2">
        <f>+-10.18-SUM(K139)</f>
        <v>0</v>
      </c>
      <c r="M139" s="2">
        <f>-10.18-SUM(J139:L139)</f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</row>
    <row r="140" spans="1:18" x14ac:dyDescent="0.2">
      <c r="A140" s="6" t="s">
        <v>63</v>
      </c>
      <c r="B140" s="2">
        <v>6.1280000000000001</v>
      </c>
      <c r="C140" s="2">
        <f>21.912-B140</f>
        <v>15.783999999999999</v>
      </c>
      <c r="D140" s="2">
        <f>37.098-SUM(B140:C140)</f>
        <v>15.186</v>
      </c>
      <c r="E140" s="2">
        <f>50.797-SUM(B140:D140)</f>
        <v>13.698999999999998</v>
      </c>
      <c r="F140" s="2">
        <v>14.932</v>
      </c>
      <c r="G140" s="2">
        <f>30.221-F140</f>
        <v>15.289</v>
      </c>
      <c r="H140" s="2">
        <f>51.878-SUM(F140:G140)</f>
        <v>21.657</v>
      </c>
      <c r="I140" s="2">
        <f>69.137-SUM(F140:H140)</f>
        <v>17.259</v>
      </c>
      <c r="J140" s="2">
        <v>18.358000000000001</v>
      </c>
      <c r="K140" s="2">
        <f>39.175-J140</f>
        <v>20.816999999999997</v>
      </c>
      <c r="L140" s="2">
        <f>59.487-SUM(J140:K140)</f>
        <v>20.312000000000005</v>
      </c>
      <c r="M140" s="2">
        <f>78.075-SUM(J140:L140)</f>
        <v>18.588000000000001</v>
      </c>
      <c r="N140" s="2">
        <v>21.300999999999998</v>
      </c>
      <c r="O140" s="2">
        <f>45.584-N140</f>
        <v>24.283000000000005</v>
      </c>
      <c r="P140" s="2">
        <f>70.157-SUM(N140:O140)</f>
        <v>24.572999999999993</v>
      </c>
      <c r="Q140" s="2">
        <f>93.56-SUM(N140:P140)</f>
        <v>23.403000000000006</v>
      </c>
      <c r="R140" s="2">
        <v>25.757999999999999</v>
      </c>
    </row>
    <row r="141" spans="1:18" x14ac:dyDescent="0.2">
      <c r="A141" s="6" t="s">
        <v>85</v>
      </c>
      <c r="B141" s="2">
        <v>0</v>
      </c>
      <c r="C141" s="2">
        <v>0</v>
      </c>
      <c r="D141" s="2">
        <v>0</v>
      </c>
      <c r="E141" s="2">
        <v>-13.696</v>
      </c>
      <c r="F141" s="2">
        <v>0</v>
      </c>
      <c r="G141" s="2">
        <v>0</v>
      </c>
      <c r="H141" s="2">
        <v>0</v>
      </c>
      <c r="I141" s="2">
        <v>-18.699000000000002</v>
      </c>
      <c r="J141" s="2">
        <v>0</v>
      </c>
      <c r="K141" s="2">
        <v>0</v>
      </c>
      <c r="L141" s="2">
        <v>0</v>
      </c>
      <c r="M141" s="2">
        <f>-23.337-SUM(J141:L141)</f>
        <v>-23.337</v>
      </c>
      <c r="N141" s="2">
        <v>0</v>
      </c>
      <c r="O141" s="2">
        <v>0</v>
      </c>
      <c r="P141" s="2">
        <v>0</v>
      </c>
      <c r="Q141" s="2">
        <f>-28.547-SUM(N141:P141)</f>
        <v>-28.547000000000001</v>
      </c>
      <c r="R141" s="2">
        <v>0</v>
      </c>
    </row>
    <row r="142" spans="1:18" x14ac:dyDescent="0.2">
      <c r="A142" s="6" t="s">
        <v>64</v>
      </c>
      <c r="B142" s="2">
        <v>-5.6689999999999996</v>
      </c>
      <c r="C142" s="2">
        <f>-13.538-B142</f>
        <v>-7.8690000000000007</v>
      </c>
      <c r="D142" s="2">
        <f>-9.841-SUM(B142:C142)</f>
        <v>3.697000000000001</v>
      </c>
      <c r="E142" s="2">
        <f>4.485-SUM(B142:D142)</f>
        <v>14.326000000000001</v>
      </c>
      <c r="F142" s="2">
        <v>21.515000000000001</v>
      </c>
      <c r="G142" s="2">
        <f>45.01-F142</f>
        <v>23.494999999999997</v>
      </c>
      <c r="H142" s="2">
        <f>30.427-SUM(F142:G142)</f>
        <v>-14.582999999999998</v>
      </c>
      <c r="I142" s="2">
        <f>15.191-SUM(F142:H142)</f>
        <v>-15.235999999999999</v>
      </c>
      <c r="J142" s="2">
        <v>-10.378</v>
      </c>
      <c r="K142" s="2">
        <f>-8.055-J142</f>
        <v>2.3230000000000004</v>
      </c>
      <c r="L142" s="2">
        <f>+-19.202-SUM(J142:K142)</f>
        <v>-11.147000000000002</v>
      </c>
      <c r="M142" s="2">
        <f>-38.649-SUM(J142:L142)</f>
        <v>-19.446999999999999</v>
      </c>
      <c r="N142" s="2">
        <v>-0.72099999999999997</v>
      </c>
      <c r="O142" s="2">
        <f>18.87-N142</f>
        <v>19.591000000000001</v>
      </c>
      <c r="P142" s="2">
        <f>29.499-SUM(N142:O142)</f>
        <v>10.628999999999998</v>
      </c>
      <c r="Q142" s="2">
        <f>32.527-SUM(N142:P142)</f>
        <v>3.0280000000000022</v>
      </c>
      <c r="R142" s="2">
        <v>-0.316</v>
      </c>
    </row>
    <row r="143" spans="1:18" x14ac:dyDescent="0.2">
      <c r="A143" s="6" t="s">
        <v>58</v>
      </c>
      <c r="B143" s="2">
        <v>0</v>
      </c>
      <c r="C143" s="2">
        <v>0</v>
      </c>
      <c r="D143" s="2">
        <v>0</v>
      </c>
      <c r="E143" s="2">
        <v>34.908000000000001</v>
      </c>
      <c r="F143" s="2">
        <v>0</v>
      </c>
      <c r="G143" s="2">
        <v>0</v>
      </c>
      <c r="H143" s="2">
        <v>0</v>
      </c>
      <c r="I143" s="2">
        <v>-5.18</v>
      </c>
      <c r="J143" s="2">
        <v>0</v>
      </c>
      <c r="K143" s="2">
        <v>0</v>
      </c>
      <c r="L143" s="2">
        <v>0</v>
      </c>
      <c r="M143" s="2">
        <f>3.042-SUM(J143:L143)</f>
        <v>3.0419999999999998</v>
      </c>
      <c r="N143" s="2">
        <v>0</v>
      </c>
      <c r="O143" s="2">
        <v>0</v>
      </c>
      <c r="P143" s="2">
        <v>0</v>
      </c>
      <c r="Q143" s="2">
        <f>-28.383-SUM(N143:P143)</f>
        <v>-28.382999999999999</v>
      </c>
      <c r="R143" s="2">
        <v>0</v>
      </c>
    </row>
    <row r="144" spans="1:18" x14ac:dyDescent="0.2">
      <c r="A144" s="11" t="s">
        <v>44</v>
      </c>
      <c r="B144" s="2">
        <v>-122.81</v>
      </c>
      <c r="C144" s="2">
        <f>-138.194-B144</f>
        <v>-15.383999999999986</v>
      </c>
      <c r="D144" s="2">
        <f>-234.154-SUM(B144:C144)</f>
        <v>-95.960000000000008</v>
      </c>
      <c r="E144" s="2">
        <f>-96.548-SUM(B144:D144)</f>
        <v>137.60599999999999</v>
      </c>
      <c r="F144" s="2">
        <v>-74.218000000000004</v>
      </c>
      <c r="G144" s="2">
        <f>-137.364-F144</f>
        <v>-63.146000000000001</v>
      </c>
      <c r="H144" s="2">
        <f>-288.821-SUM(F144:G144)</f>
        <v>-151.45700000000002</v>
      </c>
      <c r="I144" s="2">
        <f>-323.609-SUM(F144:H144)</f>
        <v>-34.787999999999954</v>
      </c>
      <c r="J144" s="2">
        <v>-320.60700000000003</v>
      </c>
      <c r="K144" s="2">
        <f>-510.567-J144</f>
        <v>-189.95999999999998</v>
      </c>
      <c r="L144" s="2">
        <f>-832.024-SUM(J144:K144)</f>
        <v>-321.45699999999999</v>
      </c>
      <c r="M144" s="2">
        <f>-510.51-SUM(J144:L144)</f>
        <v>321.51400000000001</v>
      </c>
      <c r="N144" s="2">
        <v>-155.17400000000001</v>
      </c>
      <c r="O144" s="2">
        <f>-234.05-N144</f>
        <v>-78.876000000000005</v>
      </c>
      <c r="P144" s="2">
        <f>-301.801-SUM(N144:O144)</f>
        <v>-67.750999999999976</v>
      </c>
      <c r="Q144" s="2">
        <f>66.584-SUM(N144:P144)</f>
        <v>368.38499999999999</v>
      </c>
      <c r="R144" s="2">
        <v>-36.424999999999997</v>
      </c>
    </row>
    <row r="145" spans="1:18" x14ac:dyDescent="0.2">
      <c r="A145" s="11" t="s">
        <v>93</v>
      </c>
      <c r="B145" s="2">
        <v>-4.157</v>
      </c>
      <c r="C145" s="2">
        <f>-39.86-B145</f>
        <v>-35.703000000000003</v>
      </c>
      <c r="D145" s="2">
        <f>-83.113-SUM(B145:C145)</f>
        <v>-43.253</v>
      </c>
      <c r="E145" s="2">
        <f>-53.966-SUM(B145:D145)</f>
        <v>29.146999999999998</v>
      </c>
      <c r="F145" s="2">
        <v>0.76700000000000002</v>
      </c>
      <c r="G145" s="2">
        <f>21.763-F145</f>
        <v>20.996000000000002</v>
      </c>
      <c r="H145" s="2">
        <f>-0.883-SUM(F145:G145)</f>
        <v>-22.646000000000001</v>
      </c>
      <c r="I145" s="2">
        <f>20.108-SUM(F145:H145)</f>
        <v>20.991</v>
      </c>
      <c r="J145" s="2">
        <v>2.6459999999999999</v>
      </c>
      <c r="K145" s="2">
        <f>-47.51-J145</f>
        <v>-50.155999999999999</v>
      </c>
      <c r="L145" s="2">
        <f>-77.458-SUM(J145:K145)</f>
        <v>-29.948</v>
      </c>
      <c r="M145" s="2">
        <f>-66.714-SUM(J145:L145)</f>
        <v>10.744</v>
      </c>
      <c r="N145" s="2">
        <v>3.2490000000000001</v>
      </c>
      <c r="O145" s="2">
        <f>-39.275-N145</f>
        <v>-42.524000000000001</v>
      </c>
      <c r="P145" s="2">
        <f>-114.616-SUM(N145:O145)</f>
        <v>-75.341000000000008</v>
      </c>
      <c r="Q145" s="2">
        <f>1.908-SUM(N145:P145)</f>
        <v>116.52400000000002</v>
      </c>
      <c r="R145" s="2">
        <v>-10.103999999999999</v>
      </c>
    </row>
    <row r="146" spans="1:18" x14ac:dyDescent="0.2">
      <c r="A146" s="11" t="s">
        <v>94</v>
      </c>
      <c r="B146" s="2">
        <v>-53.357999999999997</v>
      </c>
      <c r="C146" s="2">
        <f>-76.811-B146</f>
        <v>-23.45300000000001</v>
      </c>
      <c r="D146" s="2">
        <f>-66.778-SUM(B146:C146)</f>
        <v>10.033000000000001</v>
      </c>
      <c r="E146" s="2">
        <f>-70.999-SUM(B146:D146)</f>
        <v>-4.2209999999999894</v>
      </c>
      <c r="F146" s="2">
        <v>-11.103999999999999</v>
      </c>
      <c r="G146" s="2">
        <f>-8.337-F146</f>
        <v>2.7669999999999995</v>
      </c>
      <c r="H146" s="2">
        <f>-43.395-SUM(F146:G146)</f>
        <v>-35.058000000000007</v>
      </c>
      <c r="I146" s="2">
        <f>-82.404-SUM(F146:H146)</f>
        <v>-39.008999999999986</v>
      </c>
      <c r="J146" s="2">
        <v>4.2960000000000003</v>
      </c>
      <c r="K146" s="2">
        <f>1.618-J146</f>
        <v>-2.6779999999999999</v>
      </c>
      <c r="L146" s="2">
        <f>-90.512-SUM(J146:K146)</f>
        <v>-92.13</v>
      </c>
      <c r="M146" s="2">
        <f>-113.82-SUM(J146:L146)</f>
        <v>-23.307999999999993</v>
      </c>
      <c r="N146" s="2">
        <v>17.510999999999999</v>
      </c>
      <c r="O146" s="2">
        <f>37.595-N146</f>
        <v>20.084</v>
      </c>
      <c r="P146" s="2">
        <f>41.202-SUM(N146:O146)</f>
        <v>3.6069999999999993</v>
      </c>
      <c r="Q146" s="2">
        <f>47.167-SUM(N146:P146)</f>
        <v>5.9650000000000034</v>
      </c>
      <c r="R146" s="2">
        <v>-22.532</v>
      </c>
    </row>
    <row r="147" spans="1:18" x14ac:dyDescent="0.2">
      <c r="A147" s="11" t="s">
        <v>90</v>
      </c>
      <c r="B147" s="2">
        <v>0</v>
      </c>
      <c r="C147" s="2">
        <v>0</v>
      </c>
      <c r="D147" s="2">
        <v>-36.418999999999997</v>
      </c>
      <c r="E147" s="2">
        <f>-49.056-SUM(B147:D147)</f>
        <v>-12.637</v>
      </c>
      <c r="F147" s="2">
        <v>1.105</v>
      </c>
      <c r="G147" s="2">
        <f>-5.487-F147</f>
        <v>-6.5920000000000005</v>
      </c>
      <c r="H147" s="2">
        <f>-8.792-SUM(F147:G147)</f>
        <v>-3.3049999999999997</v>
      </c>
      <c r="I147" s="2">
        <f>-17.556-SUM(F147:H147)</f>
        <v>-8.7640000000000011</v>
      </c>
      <c r="J147" s="2">
        <v>-4.5229999999999997</v>
      </c>
      <c r="K147" s="2">
        <f>-15.046-J147</f>
        <v>-10.523</v>
      </c>
      <c r="L147" s="2">
        <f>-25.725-SUM(J147:K147)</f>
        <v>-10.679000000000002</v>
      </c>
      <c r="M147" s="2">
        <f>-36.518-SUM(J147:L147)</f>
        <v>-10.792999999999999</v>
      </c>
      <c r="N147" s="2">
        <v>-7.2220000000000004</v>
      </c>
      <c r="O147" s="2">
        <v>-16.553999999999998</v>
      </c>
      <c r="P147" s="2">
        <f>-30.513-SUM(N147:O147)</f>
        <v>-6.7370000000000019</v>
      </c>
      <c r="Q147" s="2">
        <f>-53.28-SUM(N147:P147)</f>
        <v>-22.766999999999999</v>
      </c>
      <c r="R147" s="2">
        <v>-17.969000000000001</v>
      </c>
    </row>
    <row r="148" spans="1:18" x14ac:dyDescent="0.2">
      <c r="A148" s="11" t="s">
        <v>49</v>
      </c>
      <c r="B148" s="2">
        <v>2.222</v>
      </c>
      <c r="C148" s="2">
        <f>35.967-B148</f>
        <v>33.744999999999997</v>
      </c>
      <c r="D148" s="2">
        <f>-73.596-SUM(B148:C148)</f>
        <v>-109.563</v>
      </c>
      <c r="E148" s="2">
        <f>82.663-SUM(B148:D148)</f>
        <v>156.25900000000001</v>
      </c>
      <c r="F148" s="2">
        <v>19.623000000000001</v>
      </c>
      <c r="G148" s="2">
        <f>28.232-F148</f>
        <v>8.6089999999999982</v>
      </c>
      <c r="H148" s="2">
        <f>50.903-SUM(F148:G148)</f>
        <v>22.670999999999999</v>
      </c>
      <c r="I148" s="2">
        <f>117.655-SUM(F148:H148)</f>
        <v>66.75200000000001</v>
      </c>
      <c r="J148" s="2">
        <v>20.63</v>
      </c>
      <c r="K148" s="2">
        <f>-28.249-J148</f>
        <v>-48.878999999999998</v>
      </c>
      <c r="L148" s="2">
        <f>26.537-SUM(J148:K148)</f>
        <v>54.786000000000001</v>
      </c>
      <c r="M148" s="2">
        <f>-107.28-SUM(J148:L148)</f>
        <v>-133.81700000000001</v>
      </c>
      <c r="N148" s="2">
        <v>116.935</v>
      </c>
      <c r="O148" s="2">
        <f>126.007-N148</f>
        <v>9.0720000000000027</v>
      </c>
      <c r="P148" s="2">
        <f>141.685-SUM(N148:O148)</f>
        <v>15.677999999999997</v>
      </c>
      <c r="Q148" s="2">
        <f>177.367-SUM(N148:P148)</f>
        <v>35.681999999999988</v>
      </c>
      <c r="R148" s="2">
        <v>-82.366</v>
      </c>
    </row>
    <row r="149" spans="1:18" x14ac:dyDescent="0.2">
      <c r="A149" s="11" t="s">
        <v>92</v>
      </c>
      <c r="B149" s="2">
        <v>4.016</v>
      </c>
      <c r="C149" s="2">
        <f>25.322-B149</f>
        <v>21.305999999999997</v>
      </c>
      <c r="D149" s="2">
        <f>4.24-SUM(B149:C149)</f>
        <v>-21.081999999999994</v>
      </c>
      <c r="E149" s="2">
        <f>8.046-SUM(B149:D149)</f>
        <v>3.8059999999999974</v>
      </c>
      <c r="F149" s="2">
        <v>-6.1139999999999999</v>
      </c>
      <c r="G149" s="2">
        <f>18.091-F149</f>
        <v>24.205000000000002</v>
      </c>
      <c r="H149" s="2">
        <f>-5.253-SUM(F149:G149)</f>
        <v>-23.344000000000001</v>
      </c>
      <c r="I149" s="2">
        <f>0-SUM(F149:H149)</f>
        <v>5.2530000000000001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</row>
    <row r="150" spans="1:18" x14ac:dyDescent="0.2">
      <c r="A150" s="11" t="s">
        <v>50</v>
      </c>
      <c r="B150" s="2">
        <v>0</v>
      </c>
      <c r="C150" s="2">
        <v>53.868000000000002</v>
      </c>
      <c r="D150" s="2">
        <f>69.496-SUM(B150:C150)</f>
        <v>15.627999999999993</v>
      </c>
      <c r="E150" s="2">
        <f>91.115-SUM(B150:D150)</f>
        <v>21.619</v>
      </c>
      <c r="F150" s="2">
        <v>44.295000000000002</v>
      </c>
      <c r="G150" s="2">
        <f>47.403-F150</f>
        <v>3.107999999999997</v>
      </c>
      <c r="H150" s="2">
        <f>93.132-SUM(F150:G150)</f>
        <v>45.729000000000006</v>
      </c>
      <c r="I150" s="2">
        <f>103.878-SUM(F150:H150)</f>
        <v>10.745999999999995</v>
      </c>
      <c r="J150" s="2">
        <v>28.113</v>
      </c>
      <c r="K150" s="2">
        <f>6.082-J150</f>
        <v>-22.030999999999999</v>
      </c>
      <c r="L150" s="2">
        <f>31.767-SUM(J150:K150)</f>
        <v>25.684999999999999</v>
      </c>
      <c r="M150" s="2">
        <f>65.364-SUM(J150:L150)</f>
        <v>33.597000000000008</v>
      </c>
      <c r="N150" s="2">
        <v>-53.685000000000002</v>
      </c>
      <c r="O150" s="2">
        <f>8.538-N150</f>
        <v>62.222999999999999</v>
      </c>
      <c r="P150" s="2">
        <f>-16.238-SUM(N150:O150)</f>
        <v>-24.775999999999996</v>
      </c>
      <c r="Q150" s="2">
        <f>-71.734-SUM(N150:P150)</f>
        <v>-55.495999999999995</v>
      </c>
      <c r="R150" s="2">
        <v>37.533999999999999</v>
      </c>
    </row>
    <row r="151" spans="1:18" x14ac:dyDescent="0.2">
      <c r="A151" s="11" t="s">
        <v>51</v>
      </c>
      <c r="B151" s="2">
        <v>-60.137</v>
      </c>
      <c r="C151" s="2">
        <f>-49.037-B151</f>
        <v>11.100000000000001</v>
      </c>
      <c r="D151" s="2">
        <f>-37.077-SUM(B151:C151)</f>
        <v>11.96</v>
      </c>
      <c r="E151" s="2">
        <f>-6.692-SUM(B151:D151)</f>
        <v>30.384999999999998</v>
      </c>
      <c r="F151" s="2">
        <v>22.763999999999999</v>
      </c>
      <c r="G151" s="2">
        <f>19.26-F151</f>
        <v>-3.5039999999999978</v>
      </c>
      <c r="H151" s="2">
        <f>50.437-SUM(F151:G151)</f>
        <v>31.176999999999996</v>
      </c>
      <c r="I151" s="2">
        <f>75.273-SUM(F151:H151)</f>
        <v>24.835999999999999</v>
      </c>
      <c r="J151" s="2">
        <v>-84.123000000000005</v>
      </c>
      <c r="K151" s="2">
        <f>-50.187-J151</f>
        <v>33.936000000000007</v>
      </c>
      <c r="L151" s="2">
        <f>-13.694-SUM(J151:K151)</f>
        <v>36.492999999999995</v>
      </c>
      <c r="M151" s="2">
        <f>47.254-SUM(J151:L151)</f>
        <v>60.948</v>
      </c>
      <c r="N151" s="2">
        <v>-120.699</v>
      </c>
      <c r="O151" s="2">
        <f>-55.716-N151</f>
        <v>64.983000000000004</v>
      </c>
      <c r="P151" s="2">
        <f>-1.496-SUM(N151:O151)</f>
        <v>54.219999999999992</v>
      </c>
      <c r="Q151" s="2">
        <f>70.217-SUM(N151:P151)</f>
        <v>71.712999999999994</v>
      </c>
      <c r="R151" s="2">
        <v>-190.51300000000001</v>
      </c>
    </row>
    <row r="152" spans="1:18" x14ac:dyDescent="0.2">
      <c r="A152" s="11" t="s">
        <v>16</v>
      </c>
      <c r="B152" s="2">
        <v>3.7109999999999999</v>
      </c>
      <c r="C152" s="2">
        <f>43.926-B152</f>
        <v>40.215000000000003</v>
      </c>
      <c r="D152" s="2">
        <f>-25.611-SUM(B152:C152)</f>
        <v>-69.537000000000006</v>
      </c>
      <c r="E152" s="2">
        <f>-24.125-SUM(B152:D152)</f>
        <v>1.4860000000000042</v>
      </c>
      <c r="F152" s="2">
        <v>-5.4329999999999998</v>
      </c>
      <c r="G152" s="2">
        <f>0.456-F152</f>
        <v>5.8890000000000002</v>
      </c>
      <c r="H152" s="2">
        <f>29.862-SUM(F152:G152)</f>
        <v>29.405999999999999</v>
      </c>
      <c r="I152" s="2">
        <f>120.778-SUM(F152:H152)</f>
        <v>90.916000000000011</v>
      </c>
      <c r="J152" s="2">
        <v>-119.959</v>
      </c>
      <c r="K152" s="2">
        <f>-91.874-J152</f>
        <v>28.085000000000008</v>
      </c>
      <c r="L152" s="2">
        <f>-54.354-SUM(J152:K152)</f>
        <v>37.519999999999996</v>
      </c>
      <c r="M152" s="2">
        <f>35.986-SUM(J152:L152)</f>
        <v>90.34</v>
      </c>
      <c r="N152" s="2">
        <v>-141.23699999999999</v>
      </c>
      <c r="O152" s="2">
        <f>-167.216-N152</f>
        <v>-25.979000000000013</v>
      </c>
      <c r="P152" s="2">
        <f>-153.539-SUM(N152:O152)</f>
        <v>13.677000000000021</v>
      </c>
      <c r="Q152" s="2">
        <f>-173.196-SUM(N152:P152)</f>
        <v>-19.657000000000011</v>
      </c>
      <c r="R152" s="2">
        <v>41.116</v>
      </c>
    </row>
    <row r="153" spans="1:18" x14ac:dyDescent="0.2">
      <c r="A153" s="11" t="s">
        <v>89</v>
      </c>
      <c r="B153" s="2">
        <v>-13.64</v>
      </c>
      <c r="C153" s="2">
        <f>-13.848-B153</f>
        <v>-0.20800000000000018</v>
      </c>
      <c r="D153" s="2">
        <f>-15.624-SUM(B153:C153)</f>
        <v>-1.7759999999999998</v>
      </c>
      <c r="E153" s="2">
        <f>47.962-SUM(B153:D153)</f>
        <v>63.586000000000006</v>
      </c>
      <c r="F153" s="2">
        <v>-15.837999999999999</v>
      </c>
      <c r="G153" s="2">
        <f>-19.377-F153</f>
        <v>-3.5389999999999997</v>
      </c>
      <c r="H153" s="2">
        <f>-18.969-SUM(F153:G153)</f>
        <v>0.4079999999999977</v>
      </c>
      <c r="I153" s="2">
        <f>71.441-SUM(F153:H153)</f>
        <v>90.41</v>
      </c>
      <c r="J153" s="2">
        <v>-23.815999999999999</v>
      </c>
      <c r="K153" s="2">
        <f>-35.099-J153</f>
        <v>-11.282999999999998</v>
      </c>
      <c r="L153" s="2">
        <f>-33.481-SUM(J153:K153)</f>
        <v>1.617999999999995</v>
      </c>
      <c r="M153" s="2">
        <f>68.266-SUM(J153:L153)</f>
        <v>101.74700000000001</v>
      </c>
      <c r="N153" s="2">
        <v>-26.506</v>
      </c>
      <c r="O153" s="2">
        <f>-35.377-N153</f>
        <v>-8.8710000000000022</v>
      </c>
      <c r="P153" s="2">
        <f>-35.927-SUM(N153:O153)</f>
        <v>-0.54999999999999716</v>
      </c>
      <c r="Q153" s="2">
        <f>84.315-SUM(N153:P153)</f>
        <v>120.24199999999999</v>
      </c>
      <c r="R153" s="2">
        <v>-37.171999999999997</v>
      </c>
    </row>
    <row r="154" spans="1:18" x14ac:dyDescent="0.2">
      <c r="A154" s="11" t="s">
        <v>46</v>
      </c>
      <c r="B154" s="2">
        <v>-16.867999999999999</v>
      </c>
      <c r="C154" s="2">
        <f>7.388-B154</f>
        <v>24.256</v>
      </c>
      <c r="D154" s="2">
        <f>6.577-SUM(B154:C154)</f>
        <v>-0.81100000000000172</v>
      </c>
      <c r="E154" s="2">
        <f>13.267-SUM(B154:D154)</f>
        <v>6.6899999999999995</v>
      </c>
      <c r="F154" s="2">
        <v>1.82</v>
      </c>
      <c r="G154" s="2">
        <f>1.265-F154</f>
        <v>-0.55500000000000016</v>
      </c>
      <c r="H154" s="2">
        <f>6.318-SUM(F154:G154)</f>
        <v>5.0529999999999999</v>
      </c>
      <c r="I154" s="2">
        <f>13.494-SUM(F154:H154)</f>
        <v>7.1760000000000002</v>
      </c>
      <c r="J154" s="2">
        <v>7.1150000000000002</v>
      </c>
      <c r="K154" s="2">
        <f>8.775-J154</f>
        <v>1.6600000000000001</v>
      </c>
      <c r="L154" s="2">
        <f>15.285-SUM(J154:K154)</f>
        <v>6.51</v>
      </c>
      <c r="M154" s="2">
        <f>23.905-SUM(J154:L154)</f>
        <v>8.620000000000001</v>
      </c>
      <c r="N154" s="2">
        <v>5.2549999999999999</v>
      </c>
      <c r="O154" s="2">
        <f>14.049-N154</f>
        <v>8.7940000000000005</v>
      </c>
      <c r="P154" s="2">
        <f>19.898-SUM(N154:O154)</f>
        <v>5.8490000000000002</v>
      </c>
      <c r="Q154" s="2">
        <f>37.535-SUM(N154:P154)</f>
        <v>17.636999999999997</v>
      </c>
      <c r="R154" s="2">
        <v>1.097</v>
      </c>
    </row>
    <row r="155" spans="1:18" x14ac:dyDescent="0.2">
      <c r="A155" s="11" t="s">
        <v>91</v>
      </c>
      <c r="B155" s="2">
        <v>67.155000000000001</v>
      </c>
      <c r="C155" s="2">
        <f>3.358-B155</f>
        <v>-63.797000000000004</v>
      </c>
      <c r="D155" s="2">
        <f>10.729-SUM(B155:C155)</f>
        <v>7.3710000000000022</v>
      </c>
      <c r="E155" s="2">
        <f>10.784-SUM(B155:D155)</f>
        <v>5.5000000000001492E-2</v>
      </c>
      <c r="F155" s="2">
        <v>4.5540000000000003</v>
      </c>
      <c r="G155" s="2">
        <f>1.483-F155</f>
        <v>-3.0710000000000002</v>
      </c>
      <c r="H155" s="2">
        <f>8.376-SUM(F155:G155)</f>
        <v>6.8929999999999989</v>
      </c>
      <c r="I155" s="2">
        <f>30.073-SUM(F155:H155)</f>
        <v>21.697000000000003</v>
      </c>
      <c r="J155" s="2">
        <v>-15.476000000000001</v>
      </c>
      <c r="K155" s="2">
        <f>-16.461-J155</f>
        <v>-0.98499999999999766</v>
      </c>
      <c r="L155" s="2">
        <f>-2.865-SUM(J155:K155)</f>
        <v>13.595999999999998</v>
      </c>
      <c r="M155" s="2">
        <f>-2.925-SUM(J155:L155)</f>
        <v>-5.9999999999999609E-2</v>
      </c>
      <c r="N155" s="2">
        <v>1.9750000000000001</v>
      </c>
      <c r="O155" s="2">
        <f>9.625-N155</f>
        <v>7.65</v>
      </c>
      <c r="P155" s="2">
        <f>8.729-SUM(N155:O155)</f>
        <v>-0.8960000000000008</v>
      </c>
      <c r="Q155" s="2">
        <f>12.23-SUM(N155:P155)</f>
        <v>3.5010000000000012</v>
      </c>
      <c r="R155" s="2">
        <v>2.2360000000000002</v>
      </c>
    </row>
    <row r="156" spans="1:18" x14ac:dyDescent="0.2">
      <c r="A156" s="6" t="s">
        <v>65</v>
      </c>
      <c r="B156" s="2">
        <f>+SUM(B144:B155)</f>
        <v>-193.86599999999996</v>
      </c>
      <c r="C156" s="2">
        <f t="shared" ref="C156:Q156" si="91">+SUM(C144:C155)</f>
        <v>45.945000000000014</v>
      </c>
      <c r="D156" s="2">
        <f t="shared" si="91"/>
        <v>-333.40899999999999</v>
      </c>
      <c r="E156" s="2">
        <f t="shared" si="91"/>
        <v>433.78099999999995</v>
      </c>
      <c r="F156" s="2">
        <f t="shared" si="91"/>
        <v>-17.778999999999996</v>
      </c>
      <c r="G156" s="2">
        <f t="shared" si="91"/>
        <v>-14.832999999999997</v>
      </c>
      <c r="H156" s="2">
        <f t="shared" si="91"/>
        <v>-94.472999999999999</v>
      </c>
      <c r="I156" s="2">
        <f t="shared" si="91"/>
        <v>256.21600000000007</v>
      </c>
      <c r="J156" s="2">
        <f t="shared" si="91"/>
        <v>-505.70400000000001</v>
      </c>
      <c r="K156" s="2">
        <f t="shared" si="91"/>
        <v>-272.81399999999991</v>
      </c>
      <c r="L156" s="2">
        <f t="shared" si="91"/>
        <v>-278.00599999999997</v>
      </c>
      <c r="M156" s="2">
        <f t="shared" si="91"/>
        <v>459.53200000000004</v>
      </c>
      <c r="N156" s="2">
        <f t="shared" si="91"/>
        <v>-359.59799999999996</v>
      </c>
      <c r="O156" s="2">
        <f t="shared" si="91"/>
        <v>1.9999999999864571E-3</v>
      </c>
      <c r="P156" s="2">
        <f t="shared" si="91"/>
        <v>-83.019999999999968</v>
      </c>
      <c r="Q156" s="2">
        <f t="shared" si="91"/>
        <v>641.72899999999981</v>
      </c>
      <c r="R156" s="2">
        <f t="shared" ref="R156" si="92">+SUM(R144:R155)</f>
        <v>-315.09800000000007</v>
      </c>
    </row>
    <row r="157" spans="1:18" s="9" customFormat="1" x14ac:dyDescent="0.2">
      <c r="A157" s="10" t="s">
        <v>66</v>
      </c>
      <c r="B157" s="9">
        <f>+SUM(B135:B143)+B156</f>
        <v>-121.24299999999995</v>
      </c>
      <c r="C157" s="9">
        <f t="shared" ref="C157:Q157" si="93">+SUM(C135:C143)+C156</f>
        <v>181.30500000000004</v>
      </c>
      <c r="D157" s="9">
        <f t="shared" si="93"/>
        <v>-121.84999999999994</v>
      </c>
      <c r="E157" s="9">
        <f t="shared" si="93"/>
        <v>865.12400000000002</v>
      </c>
      <c r="F157" s="9">
        <f t="shared" si="93"/>
        <v>214.10899999999998</v>
      </c>
      <c r="G157" s="9">
        <f t="shared" si="93"/>
        <v>285.66300000000001</v>
      </c>
      <c r="H157" s="9">
        <f t="shared" si="93"/>
        <v>158.35200000000003</v>
      </c>
      <c r="I157" s="9">
        <f t="shared" si="93"/>
        <v>730.98400000000015</v>
      </c>
      <c r="J157" s="9">
        <f t="shared" si="93"/>
        <v>-243.25600000000003</v>
      </c>
      <c r="K157" s="9">
        <f t="shared" si="93"/>
        <v>97.63800000000009</v>
      </c>
      <c r="L157" s="9">
        <f t="shared" si="93"/>
        <v>65.817000000000064</v>
      </c>
      <c r="M157" s="9">
        <f t="shared" si="93"/>
        <v>1046.2640000000001</v>
      </c>
      <c r="N157" s="9">
        <f t="shared" si="93"/>
        <v>35.502999999999986</v>
      </c>
      <c r="O157" s="9">
        <f t="shared" si="93"/>
        <v>479.48800000000011</v>
      </c>
      <c r="P157" s="9">
        <f t="shared" si="93"/>
        <v>397.07499999999993</v>
      </c>
      <c r="Q157" s="9">
        <f t="shared" si="93"/>
        <v>1383.9879999999998</v>
      </c>
      <c r="R157" s="9">
        <f t="shared" ref="R157" si="94">+SUM(R135:R143)+R156</f>
        <v>127.52399999999994</v>
      </c>
    </row>
    <row r="159" spans="1:18" s="9" customFormat="1" x14ac:dyDescent="0.2">
      <c r="A159" s="10" t="s">
        <v>67</v>
      </c>
      <c r="B159" s="9">
        <v>-52.100999999999999</v>
      </c>
      <c r="C159" s="9">
        <f>+-104.723-B159</f>
        <v>-52.622</v>
      </c>
      <c r="D159" s="9">
        <f>+-170.83-SUM(B159:C159)</f>
        <v>-66.107000000000014</v>
      </c>
      <c r="E159" s="9">
        <f>+-229.226-SUM(B159:D159)</f>
        <v>-58.395999999999987</v>
      </c>
      <c r="F159" s="9">
        <v>-64.224999999999994</v>
      </c>
      <c r="G159" s="9">
        <f>+-144.494-F159</f>
        <v>-80.269000000000005</v>
      </c>
      <c r="H159" s="9">
        <f>+-266.991-SUM(F159:G159)</f>
        <v>-122.49699999999999</v>
      </c>
      <c r="I159" s="9">
        <f>+-394.502-SUM(F159:H159)</f>
        <v>-127.51100000000002</v>
      </c>
      <c r="J159" s="9">
        <v>-111.352</v>
      </c>
      <c r="K159" s="9">
        <f>-256.07-J159</f>
        <v>-144.71799999999999</v>
      </c>
      <c r="L159" s="9">
        <f>-431.677-SUM(J159:K159)</f>
        <v>-175.60700000000003</v>
      </c>
      <c r="M159" s="9">
        <f>-638.657-SUM(J159:L159)</f>
        <v>-206.98000000000002</v>
      </c>
      <c r="N159" s="9">
        <v>-136.94200000000001</v>
      </c>
      <c r="O159" s="9">
        <f>+-282.453-N159</f>
        <v>-145.51099999999997</v>
      </c>
      <c r="P159" s="9">
        <f>+-445.353-SUM(N159:O159)</f>
        <v>-162.90000000000003</v>
      </c>
      <c r="Q159" s="9">
        <f>-651.865-SUM(N159:P159)</f>
        <v>-206.512</v>
      </c>
      <c r="R159" s="9">
        <v>-130.68100000000001</v>
      </c>
    </row>
    <row r="160" spans="1:18" x14ac:dyDescent="0.2">
      <c r="A160" s="6" t="s">
        <v>68</v>
      </c>
      <c r="B160" s="2">
        <v>6.4749999999999996</v>
      </c>
      <c r="C160" s="2">
        <f>10.981-B160</f>
        <v>4.5060000000000002</v>
      </c>
      <c r="D160" s="2">
        <f>5.867-SUM(B160:C160)</f>
        <v>-5.1139999999999999</v>
      </c>
      <c r="E160" s="2">
        <f>-14.607-SUM(B160:D160)</f>
        <v>-20.474</v>
      </c>
      <c r="F160" s="2">
        <v>-21.239000000000001</v>
      </c>
      <c r="G160" s="2">
        <f>-46.999-F160</f>
        <v>-25.76</v>
      </c>
      <c r="H160" s="2">
        <f>+-36.447-SUM(F160:G160)</f>
        <v>10.552</v>
      </c>
      <c r="I160" s="2">
        <f>+-23.389-SUM(F160:H160)</f>
        <v>13.058000000000003</v>
      </c>
      <c r="J160" s="2">
        <v>10.023999999999999</v>
      </c>
      <c r="K160" s="2">
        <f>15.469-J160</f>
        <v>5.4450000000000003</v>
      </c>
      <c r="L160" s="2">
        <f>29.158-SUM(J160:K160)</f>
        <v>13.689000000000002</v>
      </c>
      <c r="M160" s="2">
        <f>47.804-SUM(J160:L160)</f>
        <v>18.646000000000001</v>
      </c>
      <c r="N160" s="2">
        <v>-1.2769999999999999</v>
      </c>
      <c r="O160" s="2">
        <f>-0.549-N160</f>
        <v>0.72799999999999987</v>
      </c>
      <c r="P160" s="2">
        <f>0.686-SUM(N160:O160)</f>
        <v>1.2350000000000001</v>
      </c>
      <c r="Q160" s="2">
        <f>-1.609-SUM(N160:P160)</f>
        <v>-2.2949999999999999</v>
      </c>
      <c r="R160" s="2">
        <v>-0.85599999999999998</v>
      </c>
    </row>
    <row r="161" spans="1:18" x14ac:dyDescent="0.2">
      <c r="A161" s="6" t="s">
        <v>80</v>
      </c>
      <c r="B161" s="2">
        <v>0</v>
      </c>
      <c r="C161" s="2">
        <f>+-452.581-B161</f>
        <v>-452.58100000000002</v>
      </c>
      <c r="D161" s="2">
        <f>-452.581-SUM(B161:C161)</f>
        <v>0</v>
      </c>
      <c r="E161" s="2">
        <f>-452.581-SUM(B161:D161)</f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</row>
    <row r="162" spans="1:18" x14ac:dyDescent="0.2">
      <c r="A162" s="6" t="s">
        <v>69</v>
      </c>
      <c r="B162" s="2">
        <v>0</v>
      </c>
      <c r="C162" s="2">
        <f>1-B162</f>
        <v>1</v>
      </c>
      <c r="D162" s="2">
        <f>1-SUM(B162:C162)</f>
        <v>0</v>
      </c>
      <c r="E162" s="2">
        <f>0.882-SUM(B162:D162)</f>
        <v>-0.11799999999999999</v>
      </c>
      <c r="F162" s="2">
        <v>0</v>
      </c>
      <c r="G162" s="2">
        <f>-10-F162</f>
        <v>-10</v>
      </c>
      <c r="H162" s="2">
        <f>+-10-SUM(F162:G162)</f>
        <v>0</v>
      </c>
      <c r="I162" s="2">
        <f>-10-SUM(F162:H162)</f>
        <v>0</v>
      </c>
      <c r="J162" s="2">
        <v>0</v>
      </c>
      <c r="K162" s="2">
        <f>15.657-J162</f>
        <v>15.657</v>
      </c>
      <c r="L162" s="2">
        <f>15.657-SUM(J162:K162)</f>
        <v>0</v>
      </c>
      <c r="M162" s="2">
        <f>20.916-SUM(J162:L162)</f>
        <v>5.2590000000000003</v>
      </c>
      <c r="N162" s="2">
        <v>0</v>
      </c>
      <c r="O162" s="2">
        <f>-0.658-N161</f>
        <v>-0.65800000000000003</v>
      </c>
      <c r="P162" s="2">
        <f>-0.658-SUM(N162:O162)</f>
        <v>0</v>
      </c>
      <c r="Q162" s="2">
        <f>-0.658-SUM(N162:P162)</f>
        <v>0</v>
      </c>
      <c r="R162" s="2">
        <v>0</v>
      </c>
    </row>
    <row r="163" spans="1:18" x14ac:dyDescent="0.2">
      <c r="A163" s="6" t="s">
        <v>70</v>
      </c>
      <c r="B163" s="2">
        <f t="shared" ref="B163:R163" si="95">SUM(B159:B162)</f>
        <v>-45.625999999999998</v>
      </c>
      <c r="C163" s="2">
        <f t="shared" si="95"/>
        <v>-499.697</v>
      </c>
      <c r="D163" s="2">
        <f t="shared" si="95"/>
        <v>-71.221000000000018</v>
      </c>
      <c r="E163" s="2">
        <f t="shared" si="95"/>
        <v>-78.987999999999985</v>
      </c>
      <c r="F163" s="2">
        <f t="shared" si="95"/>
        <v>-85.463999999999999</v>
      </c>
      <c r="G163" s="2">
        <f t="shared" si="95"/>
        <v>-116.02900000000001</v>
      </c>
      <c r="H163" s="2">
        <f t="shared" si="95"/>
        <v>-111.94499999999999</v>
      </c>
      <c r="I163" s="2">
        <f t="shared" si="95"/>
        <v>-114.45300000000002</v>
      </c>
      <c r="J163" s="2">
        <f t="shared" si="95"/>
        <v>-101.328</v>
      </c>
      <c r="K163" s="2">
        <f t="shared" si="95"/>
        <v>-123.616</v>
      </c>
      <c r="L163" s="2">
        <f t="shared" si="95"/>
        <v>-161.91800000000003</v>
      </c>
      <c r="M163" s="2">
        <f t="shared" si="95"/>
        <v>-183.07499999999999</v>
      </c>
      <c r="N163" s="2">
        <f t="shared" si="95"/>
        <v>-138.21899999999999</v>
      </c>
      <c r="O163" s="2">
        <f t="shared" si="95"/>
        <v>-145.44099999999995</v>
      </c>
      <c r="P163" s="2">
        <f t="shared" si="95"/>
        <v>-161.66500000000002</v>
      </c>
      <c r="Q163" s="2">
        <f t="shared" si="95"/>
        <v>-208.80699999999999</v>
      </c>
      <c r="R163" s="2">
        <f t="shared" si="95"/>
        <v>-131.53700000000001</v>
      </c>
    </row>
    <row r="165" spans="1:18" x14ac:dyDescent="0.2">
      <c r="A165" s="6" t="s">
        <v>79</v>
      </c>
      <c r="B165" s="2">
        <v>3.1349999999999998</v>
      </c>
      <c r="C165" s="2">
        <f>12.463-B165</f>
        <v>9.3279999999999994</v>
      </c>
      <c r="D165" s="2">
        <f>14.142-SUM(B165:C165)</f>
        <v>1.6790000000000003</v>
      </c>
      <c r="E165" s="2">
        <f>15.263-SUM(B165:D165)</f>
        <v>1.1210000000000004</v>
      </c>
      <c r="F165" s="2">
        <v>4.4950000000000001</v>
      </c>
      <c r="G165" s="2">
        <f>9.713-F165</f>
        <v>5.2179999999999991</v>
      </c>
      <c r="H165" s="2">
        <f>17.62-SUM(F165:G165)</f>
        <v>7.9070000000000018</v>
      </c>
      <c r="I165" s="2">
        <f>18.194-SUM(F165:H165)</f>
        <v>0.57399999999999807</v>
      </c>
      <c r="J165" s="2">
        <v>5.1429999999999998</v>
      </c>
      <c r="K165" s="2">
        <f>6.186-J165</f>
        <v>1.0430000000000001</v>
      </c>
      <c r="L165" s="2">
        <f>10.243-SUM(J165:K165)</f>
        <v>4.0570000000000004</v>
      </c>
      <c r="M165" s="2">
        <f>11.704-SUM(J165:L165)</f>
        <v>1.4610000000000003</v>
      </c>
      <c r="N165" s="2">
        <v>11.872999999999999</v>
      </c>
      <c r="O165" s="2">
        <f>16.101-N165</f>
        <v>4.2279999999999998</v>
      </c>
      <c r="P165" s="2">
        <f>24.937-SUM(N165:O165)</f>
        <v>8.8360000000000021</v>
      </c>
      <c r="Q165" s="2">
        <f>42.43-SUM(N165:P165)</f>
        <v>17.492999999999999</v>
      </c>
      <c r="R165" s="2">
        <v>3.3929999999999998</v>
      </c>
    </row>
    <row r="166" spans="1:18" x14ac:dyDescent="0.2">
      <c r="A166" s="6" t="s">
        <v>71</v>
      </c>
      <c r="B166" s="2">
        <v>-30.059000000000001</v>
      </c>
      <c r="C166" s="2">
        <f>-30.957-B166</f>
        <v>-0.89799999999999969</v>
      </c>
      <c r="D166" s="2">
        <f>-31.883-SUM(B166:C166)</f>
        <v>-0.92599999999999838</v>
      </c>
      <c r="E166" s="2">
        <f>-32.388-SUM(B166:D166)</f>
        <v>-0.50499999999999901</v>
      </c>
      <c r="F166" s="2">
        <v>-42.899000000000001</v>
      </c>
      <c r="G166" s="2">
        <f>+-45.567-F166</f>
        <v>-2.6679999999999993</v>
      </c>
      <c r="H166" s="2">
        <f>+-49.481-SUM(F166:G166)</f>
        <v>-3.9140000000000015</v>
      </c>
      <c r="I166" s="2">
        <f>-49.809-SUM(F166:H166)</f>
        <v>-0.32799999999999585</v>
      </c>
      <c r="J166" s="2">
        <v>-32.058999999999997</v>
      </c>
      <c r="K166" s="2">
        <f>-32.778-J166</f>
        <v>-0.71900000000000119</v>
      </c>
      <c r="L166" s="2">
        <f>-34.695-SUM(J166:K166)</f>
        <v>-1.9170000000000016</v>
      </c>
      <c r="M166" s="2">
        <f>-35.158-SUM(J166:L166)</f>
        <v>-0.46300000000000097</v>
      </c>
      <c r="N166" s="2">
        <v>-28.792999999999999</v>
      </c>
      <c r="O166" s="2">
        <f>-29.735-N166</f>
        <v>-0.94200000000000017</v>
      </c>
      <c r="P166" s="2">
        <f>-30.877-SUM(N166:O166)</f>
        <v>-1.1419999999999995</v>
      </c>
      <c r="Q166" s="2">
        <f>-32.474-SUM(N166:P166)</f>
        <v>-1.5969999999999978</v>
      </c>
      <c r="R166" s="2">
        <v>-32.542000000000002</v>
      </c>
    </row>
    <row r="167" spans="1:18" x14ac:dyDescent="0.2">
      <c r="A167" s="6" t="s">
        <v>72</v>
      </c>
      <c r="B167" s="2">
        <v>-63.662999999999997</v>
      </c>
      <c r="C167" s="2">
        <f>-63.663-B167</f>
        <v>0</v>
      </c>
      <c r="D167" s="2">
        <f>-63.663-SUM(B167:C167)</f>
        <v>0</v>
      </c>
      <c r="E167" s="2">
        <f>-63.663-SUM(B167:D167)</f>
        <v>0</v>
      </c>
      <c r="F167" s="2">
        <v>-83.831000000000003</v>
      </c>
      <c r="G167" s="2">
        <f>-254.913-F167</f>
        <v>-171.08199999999999</v>
      </c>
      <c r="H167" s="2">
        <f>-491.336-SUM(F167:G167)</f>
        <v>-236.423</v>
      </c>
      <c r="I167" s="2">
        <f>+-812.602-SUM(F167:H167)</f>
        <v>-321.26599999999996</v>
      </c>
      <c r="J167" s="2">
        <v>-232.64400000000001</v>
      </c>
      <c r="K167" s="2">
        <f>-357.984-J167</f>
        <v>-125.33999999999997</v>
      </c>
      <c r="L167" s="2">
        <f>-374.976-SUM(J167:K167)</f>
        <v>-16.992000000000019</v>
      </c>
      <c r="M167" s="2">
        <f>-444.001-SUM(J167:L167)</f>
        <v>-69.024999999999977</v>
      </c>
      <c r="N167" s="2">
        <v>-98.478999999999999</v>
      </c>
      <c r="O167" s="2">
        <f>-292.017-N167</f>
        <v>-193.53800000000001</v>
      </c>
      <c r="P167" s="2">
        <f>-504.643-SUM(N167:O167)</f>
        <v>-212.62599999999998</v>
      </c>
      <c r="Q167" s="2">
        <f>-558.652-SUM(N167:P167)</f>
        <v>-54.009000000000071</v>
      </c>
      <c r="R167" s="2">
        <v>-299.47899999999998</v>
      </c>
    </row>
    <row r="168" spans="1:18" x14ac:dyDescent="0.2">
      <c r="A168" s="6" t="s">
        <v>69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-0.77</v>
      </c>
      <c r="J168" s="2">
        <v>0</v>
      </c>
      <c r="K168" s="2">
        <v>0</v>
      </c>
      <c r="L168" s="2">
        <v>0</v>
      </c>
      <c r="M168" s="2">
        <f>-0.032-SUM(J168:L168)</f>
        <v>-3.2000000000000001E-2</v>
      </c>
      <c r="N168" s="2">
        <v>0</v>
      </c>
      <c r="O168" s="2">
        <v>0</v>
      </c>
      <c r="P168" s="2">
        <v>0</v>
      </c>
      <c r="Q168" s="2">
        <f>-0.032-SUM(N168:P168)</f>
        <v>-3.2000000000000001E-2</v>
      </c>
      <c r="R168" s="2">
        <v>0</v>
      </c>
    </row>
    <row r="169" spans="1:18" x14ac:dyDescent="0.2">
      <c r="A169" s="6" t="s">
        <v>73</v>
      </c>
      <c r="B169" s="2">
        <f>SUM(B165:B168)</f>
        <v>-90.586999999999989</v>
      </c>
      <c r="C169" s="2">
        <f>SUM(C165:C167)</f>
        <v>8.43</v>
      </c>
      <c r="D169" s="2">
        <f>SUM(D165:D167)</f>
        <v>0.75300000000000189</v>
      </c>
      <c r="E169" s="2">
        <f>SUM(E165:E167)</f>
        <v>0.61600000000000144</v>
      </c>
      <c r="F169" s="2">
        <f>SUM(F165:F168)</f>
        <v>-122.23500000000001</v>
      </c>
      <c r="G169" s="2">
        <f>SUM(G165:G167)</f>
        <v>-168.53199999999998</v>
      </c>
      <c r="H169" s="2">
        <f>SUM(H165:H167)</f>
        <v>-232.43</v>
      </c>
      <c r="I169" s="2">
        <f t="shared" ref="I169:R169" si="96">SUM(I165:I168)</f>
        <v>-321.78999999999996</v>
      </c>
      <c r="J169" s="2">
        <f t="shared" si="96"/>
        <v>-259.56</v>
      </c>
      <c r="K169" s="2">
        <f t="shared" si="96"/>
        <v>-125.01599999999998</v>
      </c>
      <c r="L169" s="2">
        <f t="shared" si="96"/>
        <v>-14.85200000000002</v>
      </c>
      <c r="M169" s="2">
        <f t="shared" si="96"/>
        <v>-68.058999999999969</v>
      </c>
      <c r="N169" s="2">
        <f t="shared" si="96"/>
        <v>-115.399</v>
      </c>
      <c r="O169" s="2">
        <f t="shared" si="96"/>
        <v>-190.25200000000001</v>
      </c>
      <c r="P169" s="2">
        <f t="shared" si="96"/>
        <v>-204.93199999999996</v>
      </c>
      <c r="Q169" s="2">
        <f t="shared" si="96"/>
        <v>-38.145000000000067</v>
      </c>
      <c r="R169" s="2">
        <f t="shared" si="96"/>
        <v>-328.62799999999999</v>
      </c>
    </row>
    <row r="171" spans="1:18" x14ac:dyDescent="0.2">
      <c r="A171" s="6" t="s">
        <v>74</v>
      </c>
      <c r="B171" s="2">
        <v>-13.042999999999999</v>
      </c>
      <c r="C171" s="2">
        <f>-3.089-B171</f>
        <v>9.9539999999999988</v>
      </c>
      <c r="D171" s="2">
        <f>0.62-SUM(B171:C171)</f>
        <v>3.7090000000000005</v>
      </c>
      <c r="E171" s="2">
        <f>29.996-SUM(B171:D171)</f>
        <v>29.375999999999998</v>
      </c>
      <c r="F171" s="2">
        <v>22.812000000000001</v>
      </c>
      <c r="G171" s="2">
        <f>12.012-F171</f>
        <v>-10.8</v>
      </c>
      <c r="H171" s="2">
        <f>21.585-SUM(F171:G171)</f>
        <v>9.5730000000000004</v>
      </c>
      <c r="I171" s="2">
        <f>-6.876-SUM(F171:H171)</f>
        <v>-28.461000000000002</v>
      </c>
      <c r="J171" s="2">
        <v>-6.7110000000000003</v>
      </c>
      <c r="K171" s="2">
        <f>-5.902-J171</f>
        <v>0.80900000000000016</v>
      </c>
      <c r="L171" s="2">
        <f>-41.156-SUM(J171:K171)</f>
        <v>-35.253999999999998</v>
      </c>
      <c r="M171" s="2">
        <f>-34.043-SUM(J171:L171)</f>
        <v>7.1129999999999995</v>
      </c>
      <c r="N171" s="2">
        <v>3.855</v>
      </c>
      <c r="O171" s="2">
        <f>19.761-N171</f>
        <v>15.905999999999999</v>
      </c>
      <c r="P171" s="2">
        <f>-19.887-SUM(N171:O171)</f>
        <v>-39.647999999999996</v>
      </c>
      <c r="Q171" s="2">
        <f>-4.1-SUM(N171:P171)</f>
        <v>15.786999999999997</v>
      </c>
      <c r="R171" s="2">
        <v>-10.657999999999999</v>
      </c>
    </row>
    <row r="172" spans="1:18" x14ac:dyDescent="0.2">
      <c r="A172" s="6" t="s">
        <v>75</v>
      </c>
      <c r="B172" s="2">
        <f t="shared" ref="B172:P172" si="97">+B157+B163+B169+B171</f>
        <v>-270.49899999999991</v>
      </c>
      <c r="C172" s="2">
        <f t="shared" si="97"/>
        <v>-300.00799999999992</v>
      </c>
      <c r="D172" s="2">
        <f t="shared" si="97"/>
        <v>-188.60899999999995</v>
      </c>
      <c r="E172" s="2">
        <f t="shared" si="97"/>
        <v>816.12800000000004</v>
      </c>
      <c r="F172" s="2">
        <f t="shared" si="97"/>
        <v>29.221999999999969</v>
      </c>
      <c r="G172" s="2">
        <f t="shared" si="97"/>
        <v>-9.6979999999999684</v>
      </c>
      <c r="H172" s="2">
        <f t="shared" si="97"/>
        <v>-176.44999999999996</v>
      </c>
      <c r="I172" s="2">
        <f t="shared" si="97"/>
        <v>266.2800000000002</v>
      </c>
      <c r="J172" s="2">
        <f t="shared" si="97"/>
        <v>-610.85500000000002</v>
      </c>
      <c r="K172" s="2">
        <f t="shared" si="97"/>
        <v>-150.18499999999989</v>
      </c>
      <c r="L172" s="2">
        <f t="shared" si="97"/>
        <v>-146.20699999999999</v>
      </c>
      <c r="M172" s="2">
        <f t="shared" si="97"/>
        <v>802.24300000000017</v>
      </c>
      <c r="N172" s="2">
        <f t="shared" si="97"/>
        <v>-214.26000000000002</v>
      </c>
      <c r="O172" s="2">
        <f t="shared" si="97"/>
        <v>159.70100000000014</v>
      </c>
      <c r="P172" s="2">
        <f t="shared" si="97"/>
        <v>-9.1700000000000443</v>
      </c>
      <c r="Q172" s="2">
        <f>+Q157+Q163+Q169+Q171</f>
        <v>1152.8229999999999</v>
      </c>
      <c r="R172" s="2">
        <f>+R157+R163+R169+R171</f>
        <v>-343.29900000000009</v>
      </c>
    </row>
    <row r="173" spans="1:18" x14ac:dyDescent="0.2">
      <c r="A173" s="6" t="s">
        <v>76</v>
      </c>
      <c r="B173" s="2">
        <v>823.00599999999997</v>
      </c>
      <c r="C173" s="2">
        <f t="shared" ref="C173:P173" si="98">+B173+C172</f>
        <v>522.99800000000005</v>
      </c>
      <c r="D173" s="2">
        <f t="shared" si="98"/>
        <v>334.38900000000012</v>
      </c>
      <c r="E173" s="2">
        <f t="shared" si="98"/>
        <v>1150.5170000000003</v>
      </c>
      <c r="F173" s="2">
        <f t="shared" si="98"/>
        <v>1179.7390000000003</v>
      </c>
      <c r="G173" s="2">
        <f t="shared" si="98"/>
        <v>1170.0410000000004</v>
      </c>
      <c r="H173" s="2">
        <f t="shared" si="98"/>
        <v>993.59100000000046</v>
      </c>
      <c r="I173" s="2">
        <f t="shared" si="98"/>
        <v>1259.8710000000005</v>
      </c>
      <c r="J173" s="2">
        <f t="shared" si="98"/>
        <v>649.01600000000053</v>
      </c>
      <c r="K173" s="2">
        <f t="shared" si="98"/>
        <v>498.83100000000064</v>
      </c>
      <c r="L173" s="2">
        <f t="shared" si="98"/>
        <v>352.62400000000065</v>
      </c>
      <c r="M173" s="2">
        <f t="shared" si="98"/>
        <v>1154.8670000000009</v>
      </c>
      <c r="N173" s="2">
        <f t="shared" si="98"/>
        <v>940.60700000000088</v>
      </c>
      <c r="O173" s="2">
        <f t="shared" si="98"/>
        <v>1100.3080000000009</v>
      </c>
      <c r="P173" s="2">
        <f t="shared" si="98"/>
        <v>1091.1380000000008</v>
      </c>
      <c r="Q173" s="2">
        <f>+P173+Q172</f>
        <v>2243.9610000000007</v>
      </c>
      <c r="R173" s="2">
        <f>+Q173+R172</f>
        <v>1900.6620000000007</v>
      </c>
    </row>
    <row r="174" spans="1:18" x14ac:dyDescent="0.2">
      <c r="A174" s="6"/>
    </row>
    <row r="175" spans="1:18" x14ac:dyDescent="0.2">
      <c r="A175" s="6"/>
    </row>
    <row r="177" spans="1:31" x14ac:dyDescent="0.2">
      <c r="A177" s="6" t="s">
        <v>231</v>
      </c>
      <c r="B177" s="2">
        <f t="shared" ref="B177:Q177" si="99">+B157+B159</f>
        <v>-173.34399999999994</v>
      </c>
      <c r="C177" s="2">
        <f t="shared" si="99"/>
        <v>128.68300000000005</v>
      </c>
      <c r="D177" s="2">
        <f t="shared" si="99"/>
        <v>-187.95699999999994</v>
      </c>
      <c r="E177" s="2">
        <f t="shared" si="99"/>
        <v>806.72800000000007</v>
      </c>
      <c r="F177" s="2">
        <f t="shared" si="99"/>
        <v>149.88399999999999</v>
      </c>
      <c r="G177" s="2">
        <f t="shared" si="99"/>
        <v>205.39400000000001</v>
      </c>
      <c r="H177" s="2">
        <f t="shared" si="99"/>
        <v>35.855000000000047</v>
      </c>
      <c r="I177" s="2">
        <f t="shared" si="99"/>
        <v>603.47300000000018</v>
      </c>
      <c r="J177" s="2">
        <f t="shared" si="99"/>
        <v>-354.60800000000006</v>
      </c>
      <c r="K177" s="2">
        <f t="shared" si="99"/>
        <v>-47.079999999999899</v>
      </c>
      <c r="L177" s="2">
        <f t="shared" si="99"/>
        <v>-109.78999999999996</v>
      </c>
      <c r="M177" s="2">
        <f t="shared" si="99"/>
        <v>839.28400000000011</v>
      </c>
      <c r="N177" s="2">
        <f t="shared" si="99"/>
        <v>-101.43900000000002</v>
      </c>
      <c r="O177" s="2">
        <f t="shared" si="99"/>
        <v>333.97700000000015</v>
      </c>
      <c r="P177" s="2">
        <f t="shared" si="99"/>
        <v>234.1749999999999</v>
      </c>
      <c r="Q177" s="2">
        <f t="shared" si="99"/>
        <v>1177.4759999999999</v>
      </c>
      <c r="R177" s="2">
        <f>+R157+R159</f>
        <v>-3.1570000000000675</v>
      </c>
    </row>
    <row r="178" spans="1:31" x14ac:dyDescent="0.2">
      <c r="A178" s="11" t="s">
        <v>232</v>
      </c>
      <c r="F178" s="2">
        <f t="shared" ref="F178:P178" si="100">+SUM(C177:F177)</f>
        <v>897.33800000000019</v>
      </c>
      <c r="G178" s="2">
        <f t="shared" si="100"/>
        <v>974.04900000000021</v>
      </c>
      <c r="H178" s="2">
        <f t="shared" si="100"/>
        <v>1197.8610000000001</v>
      </c>
      <c r="I178" s="2">
        <f t="shared" si="100"/>
        <v>994.60600000000022</v>
      </c>
      <c r="J178" s="2">
        <f t="shared" si="100"/>
        <v>490.11400000000015</v>
      </c>
      <c r="K178" s="2">
        <f t="shared" si="100"/>
        <v>237.64000000000024</v>
      </c>
      <c r="L178" s="2">
        <f t="shared" si="100"/>
        <v>91.99500000000026</v>
      </c>
      <c r="M178" s="2">
        <f t="shared" si="100"/>
        <v>327.80600000000015</v>
      </c>
      <c r="N178" s="2">
        <f t="shared" si="100"/>
        <v>580.97500000000014</v>
      </c>
      <c r="O178" s="2">
        <f t="shared" si="100"/>
        <v>962.03200000000015</v>
      </c>
      <c r="P178" s="2">
        <f t="shared" si="100"/>
        <v>1305.9970000000001</v>
      </c>
      <c r="Q178" s="2">
        <f>+SUM(N177:Q177)</f>
        <v>1644.1889999999999</v>
      </c>
      <c r="R178" s="2">
        <f>+SUM(O177:R177)</f>
        <v>1742.4709999999998</v>
      </c>
    </row>
    <row r="179" spans="1:31" x14ac:dyDescent="0.2">
      <c r="A179" s="6"/>
    </row>
    <row r="180" spans="1:31" x14ac:dyDescent="0.2">
      <c r="A180" s="6" t="s">
        <v>77</v>
      </c>
      <c r="B180" s="2">
        <f t="shared" ref="B180:Q180" si="101">+B157+B159-B140</f>
        <v>-179.47199999999992</v>
      </c>
      <c r="C180" s="2">
        <f t="shared" si="101"/>
        <v>112.89900000000006</v>
      </c>
      <c r="D180" s="2">
        <f t="shared" si="101"/>
        <v>-203.14299999999994</v>
      </c>
      <c r="E180" s="2">
        <f t="shared" si="101"/>
        <v>793.02900000000011</v>
      </c>
      <c r="F180" s="2">
        <f t="shared" si="101"/>
        <v>134.952</v>
      </c>
      <c r="G180" s="2">
        <f t="shared" si="101"/>
        <v>190.10500000000002</v>
      </c>
      <c r="H180" s="2">
        <f t="shared" si="101"/>
        <v>14.198000000000047</v>
      </c>
      <c r="I180" s="2">
        <f t="shared" si="101"/>
        <v>586.21400000000017</v>
      </c>
      <c r="J180" s="2">
        <f t="shared" si="101"/>
        <v>-372.96600000000007</v>
      </c>
      <c r="K180" s="2">
        <f t="shared" si="101"/>
        <v>-67.896999999999892</v>
      </c>
      <c r="L180" s="2">
        <f t="shared" si="101"/>
        <v>-130.10199999999998</v>
      </c>
      <c r="M180" s="2">
        <f t="shared" si="101"/>
        <v>820.69600000000014</v>
      </c>
      <c r="N180" s="2">
        <f t="shared" si="101"/>
        <v>-122.74000000000002</v>
      </c>
      <c r="O180" s="2">
        <f t="shared" si="101"/>
        <v>309.69400000000013</v>
      </c>
      <c r="P180" s="2">
        <f t="shared" si="101"/>
        <v>209.60199999999992</v>
      </c>
      <c r="Q180" s="2">
        <f t="shared" si="101"/>
        <v>1154.0729999999999</v>
      </c>
      <c r="R180" s="2">
        <f t="shared" ref="R180" si="102">+R157+R159-R140</f>
        <v>-28.915000000000067</v>
      </c>
    </row>
    <row r="181" spans="1:31" x14ac:dyDescent="0.2">
      <c r="A181" s="6" t="s">
        <v>78</v>
      </c>
      <c r="B181" s="2">
        <f t="shared" ref="B181:Q181" si="103">+B157+B159-B140+B167</f>
        <v>-243.13499999999993</v>
      </c>
      <c r="C181" s="2">
        <f t="shared" si="103"/>
        <v>112.89900000000006</v>
      </c>
      <c r="D181" s="2">
        <f t="shared" si="103"/>
        <v>-203.14299999999994</v>
      </c>
      <c r="E181" s="2">
        <f t="shared" si="103"/>
        <v>793.02900000000011</v>
      </c>
      <c r="F181" s="2">
        <f t="shared" si="103"/>
        <v>51.120999999999995</v>
      </c>
      <c r="G181" s="2">
        <f t="shared" si="103"/>
        <v>19.023000000000025</v>
      </c>
      <c r="H181" s="2">
        <f t="shared" si="103"/>
        <v>-222.22499999999997</v>
      </c>
      <c r="I181" s="2">
        <f t="shared" si="103"/>
        <v>264.94800000000021</v>
      </c>
      <c r="J181" s="2">
        <f t="shared" si="103"/>
        <v>-605.61000000000013</v>
      </c>
      <c r="K181" s="2">
        <f t="shared" si="103"/>
        <v>-193.23699999999985</v>
      </c>
      <c r="L181" s="2">
        <f t="shared" si="103"/>
        <v>-147.09399999999999</v>
      </c>
      <c r="M181" s="2">
        <f t="shared" si="103"/>
        <v>751.67100000000016</v>
      </c>
      <c r="N181" s="2">
        <f t="shared" si="103"/>
        <v>-221.21900000000002</v>
      </c>
      <c r="O181" s="2">
        <f t="shared" si="103"/>
        <v>116.15600000000012</v>
      </c>
      <c r="P181" s="2">
        <f t="shared" si="103"/>
        <v>-3.0240000000000578</v>
      </c>
      <c r="Q181" s="2">
        <f t="shared" si="103"/>
        <v>1100.0639999999999</v>
      </c>
      <c r="R181" s="2">
        <f t="shared" ref="R181" si="104">+R157+R159-R140+R167</f>
        <v>-328.39400000000006</v>
      </c>
    </row>
    <row r="183" spans="1:31" x14ac:dyDescent="0.2">
      <c r="A183" s="2" t="s">
        <v>156</v>
      </c>
      <c r="X183" s="2">
        <v>396469</v>
      </c>
      <c r="Y183" s="2">
        <v>2103793</v>
      </c>
      <c r="Z183" s="2">
        <v>11918</v>
      </c>
      <c r="AA183" s="2">
        <v>13317</v>
      </c>
      <c r="AB183" s="2">
        <v>1520525</v>
      </c>
      <c r="AC183" s="2">
        <v>1584</v>
      </c>
      <c r="AD183" s="2">
        <v>0</v>
      </c>
      <c r="AE183" s="2">
        <v>843590</v>
      </c>
    </row>
    <row r="184" spans="1:31" x14ac:dyDescent="0.2">
      <c r="A184" s="2" t="s">
        <v>157</v>
      </c>
      <c r="X184" s="2">
        <v>32447</v>
      </c>
      <c r="Y184" s="2">
        <v>35748</v>
      </c>
      <c r="Z184" s="2">
        <v>35677</v>
      </c>
      <c r="AA184" s="2">
        <v>32726</v>
      </c>
      <c r="AB184" s="2">
        <v>23779</v>
      </c>
      <c r="AC184" s="2">
        <v>16747</v>
      </c>
      <c r="AD184" s="2">
        <v>14253</v>
      </c>
      <c r="AE184" s="2">
        <v>15958</v>
      </c>
    </row>
  </sheetData>
  <pageMargins left="0.7" right="0.7" top="0.75" bottom="0.75" header="0.3" footer="0.3"/>
  <ignoredErrors>
    <ignoredError sqref="M141 M143 M168 P138 F156:F157 J156:J157 B156:B157 N156:N157" formulaRange="1"/>
    <ignoredError sqref="AH90:AR90" formula="1"/>
  </ignoredErrors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Hesselberth</dc:creator>
  <cp:lastModifiedBy>Dennis Hesselberth</cp:lastModifiedBy>
  <dcterms:created xsi:type="dcterms:W3CDTF">2024-04-17T17:35:57Z</dcterms:created>
  <dcterms:modified xsi:type="dcterms:W3CDTF">2025-01-18T14:00:04Z</dcterms:modified>
</cp:coreProperties>
</file>