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Retail\Modehuizen\"/>
    </mc:Choice>
  </mc:AlternateContent>
  <xr:revisionPtr revIDLastSave="0" documentId="13_ncr:1_{5BB40AF8-6711-4DAF-9721-59CB698EAA99}" xr6:coauthVersionLast="47" xr6:coauthVersionMax="47" xr10:uidLastSave="{00000000-0000-0000-0000-000000000000}"/>
  <bookViews>
    <workbookView xWindow="135" yWindow="75" windowWidth="14235" windowHeight="15495" activeTab="1" xr2:uid="{D7B7CE55-D3E8-427A-867A-D0CC68AE1AD5}"/>
  </bookViews>
  <sheets>
    <sheet name="Main" sheetId="1" r:id="rId1"/>
    <sheet name="Model" sheetId="2" r:id="rId2"/>
    <sheet name="Geographic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2" l="1"/>
  <c r="W2" i="2" s="1"/>
  <c r="X2" i="2" s="1"/>
  <c r="Y2" i="2" s="1"/>
  <c r="Z2" i="2" s="1"/>
  <c r="AA2" i="2" s="1"/>
  <c r="AK106" i="2"/>
  <c r="AL106" i="2"/>
  <c r="R69" i="2"/>
  <c r="R63" i="2"/>
  <c r="R62" i="2"/>
  <c r="R61" i="2"/>
  <c r="R47" i="2" s="1"/>
  <c r="R48" i="2"/>
  <c r="R60" i="2" s="1"/>
  <c r="N29" i="2"/>
  <c r="N24" i="2"/>
  <c r="N23" i="2"/>
  <c r="N21" i="2"/>
  <c r="R29" i="2"/>
  <c r="R24" i="2"/>
  <c r="R23" i="2"/>
  <c r="R21" i="2"/>
  <c r="L11" i="1"/>
  <c r="AL95" i="2"/>
  <c r="AL98" i="2" s="1"/>
  <c r="AL90" i="2"/>
  <c r="AL83" i="2"/>
  <c r="AL102" i="2" s="1"/>
  <c r="AL69" i="2"/>
  <c r="AL63" i="2"/>
  <c r="AL62" i="2"/>
  <c r="AL61" i="2"/>
  <c r="AL47" i="2" s="1"/>
  <c r="AL48" i="2"/>
  <c r="AL60" i="2" s="1"/>
  <c r="L8" i="1"/>
  <c r="AL27" i="2"/>
  <c r="AK27" i="2"/>
  <c r="P27" i="2"/>
  <c r="L27" i="2"/>
  <c r="AL25" i="2"/>
  <c r="P22" i="2"/>
  <c r="AI20" i="2"/>
  <c r="AI39" i="2" s="1"/>
  <c r="AJ20" i="2"/>
  <c r="AK20" i="2"/>
  <c r="N20" i="2" s="1"/>
  <c r="AL20" i="2"/>
  <c r="AL22" i="2" s="1"/>
  <c r="AD78" i="3"/>
  <c r="AD61" i="3"/>
  <c r="AD44" i="3"/>
  <c r="AD27" i="3"/>
  <c r="AD10" i="3"/>
  <c r="AE77" i="3"/>
  <c r="AE76" i="3"/>
  <c r="AE75" i="3"/>
  <c r="AD75" i="3" s="1"/>
  <c r="AE74" i="3"/>
  <c r="AE73" i="3"/>
  <c r="AD73" i="3" s="1"/>
  <c r="AE72" i="3"/>
  <c r="AC77" i="3"/>
  <c r="AC76" i="3"/>
  <c r="AC75" i="3"/>
  <c r="AC74" i="3"/>
  <c r="AC73" i="3"/>
  <c r="AC72" i="3"/>
  <c r="AE60" i="3"/>
  <c r="AD60" i="3" s="1"/>
  <c r="AE59" i="3"/>
  <c r="AE58" i="3"/>
  <c r="AE57" i="3"/>
  <c r="AE56" i="3"/>
  <c r="AE55" i="3"/>
  <c r="AC60" i="3"/>
  <c r="AC59" i="3"/>
  <c r="AC58" i="3"/>
  <c r="AC57" i="3"/>
  <c r="AC56" i="3"/>
  <c r="AC55" i="3"/>
  <c r="AE43" i="3"/>
  <c r="AE42" i="3"/>
  <c r="AE41" i="3"/>
  <c r="AE40" i="3"/>
  <c r="AE39" i="3"/>
  <c r="AE38" i="3"/>
  <c r="AC43" i="3"/>
  <c r="AC42" i="3"/>
  <c r="AD42" i="3" s="1"/>
  <c r="AC41" i="3"/>
  <c r="AC40" i="3"/>
  <c r="AC39" i="3"/>
  <c r="AC38" i="3"/>
  <c r="AE22" i="3"/>
  <c r="AD22" i="3" s="1"/>
  <c r="AE26" i="3"/>
  <c r="AE25" i="3"/>
  <c r="AE24" i="3"/>
  <c r="AE23" i="3"/>
  <c r="AE21" i="3"/>
  <c r="AC26" i="3"/>
  <c r="AC25" i="3"/>
  <c r="AC24" i="3"/>
  <c r="AC23" i="3"/>
  <c r="AC22" i="3"/>
  <c r="AC21" i="3"/>
  <c r="AE6" i="3"/>
  <c r="AD6" i="3" s="1"/>
  <c r="AE9" i="3"/>
  <c r="AD9" i="3" s="1"/>
  <c r="AE8" i="3"/>
  <c r="AE7" i="3"/>
  <c r="AE5" i="3"/>
  <c r="AC9" i="3"/>
  <c r="AC8" i="3"/>
  <c r="AD8" i="3" s="1"/>
  <c r="AC7" i="3"/>
  <c r="AC6" i="3"/>
  <c r="AC5" i="3"/>
  <c r="AE4" i="3"/>
  <c r="AC4" i="3"/>
  <c r="AE95" i="3"/>
  <c r="AH39" i="2"/>
  <c r="AG39" i="2"/>
  <c r="AF39" i="2"/>
  <c r="AE39" i="2"/>
  <c r="AD39" i="2"/>
  <c r="AC39" i="2"/>
  <c r="Q45" i="2"/>
  <c r="P45" i="2"/>
  <c r="R44" i="2"/>
  <c r="Q44" i="2"/>
  <c r="P44" i="2"/>
  <c r="Q43" i="2"/>
  <c r="P43" i="2"/>
  <c r="Q42" i="2"/>
  <c r="P42" i="2"/>
  <c r="R41" i="2"/>
  <c r="Q41" i="2"/>
  <c r="P41" i="2"/>
  <c r="F19" i="2"/>
  <c r="E19" i="2"/>
  <c r="D19" i="2"/>
  <c r="C19" i="2"/>
  <c r="R19" i="2"/>
  <c r="Q19" i="2"/>
  <c r="P19" i="2"/>
  <c r="O19" i="2"/>
  <c r="M19" i="2"/>
  <c r="L19" i="2"/>
  <c r="K19" i="2"/>
  <c r="I19" i="2"/>
  <c r="H19" i="2"/>
  <c r="G19" i="2"/>
  <c r="S19" i="2"/>
  <c r="S45" i="2"/>
  <c r="S44" i="2"/>
  <c r="S43" i="2"/>
  <c r="S42" i="2"/>
  <c r="S41" i="2"/>
  <c r="AC95" i="3"/>
  <c r="N78" i="3"/>
  <c r="N61" i="3"/>
  <c r="N44" i="3"/>
  <c r="N27" i="3"/>
  <c r="N10" i="3"/>
  <c r="U2" i="3"/>
  <c r="V2" i="3" s="1"/>
  <c r="W2" i="3" s="1"/>
  <c r="X2" i="3" s="1"/>
  <c r="Y2" i="3" s="1"/>
  <c r="Z2" i="3" s="1"/>
  <c r="AA2" i="3" s="1"/>
  <c r="AB2" i="3" s="1"/>
  <c r="AC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N44" i="2"/>
  <c r="N17" i="2"/>
  <c r="N13" i="2"/>
  <c r="N45" i="2" s="1"/>
  <c r="N15" i="2"/>
  <c r="N43" i="2" s="1"/>
  <c r="N12" i="2"/>
  <c r="N42" i="2" s="1"/>
  <c r="N41" i="2"/>
  <c r="O41" i="2"/>
  <c r="O45" i="2"/>
  <c r="O44" i="2"/>
  <c r="O43" i="2"/>
  <c r="O42" i="2"/>
  <c r="M41" i="2"/>
  <c r="M45" i="2"/>
  <c r="M44" i="2"/>
  <c r="M43" i="2"/>
  <c r="M42" i="2"/>
  <c r="L41" i="2"/>
  <c r="L45" i="2"/>
  <c r="L44" i="2"/>
  <c r="L43" i="2"/>
  <c r="L42" i="2"/>
  <c r="K45" i="2"/>
  <c r="K44" i="2"/>
  <c r="K43" i="2"/>
  <c r="K42" i="2"/>
  <c r="K41" i="2"/>
  <c r="AK25" i="2"/>
  <c r="AC2" i="2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L25" i="2"/>
  <c r="L22" i="2"/>
  <c r="L34" i="2" s="1"/>
  <c r="P25" i="2"/>
  <c r="L6" i="1"/>
  <c r="L9" i="1" s="1"/>
  <c r="R25" i="2" l="1"/>
  <c r="N25" i="2"/>
  <c r="J19" i="2"/>
  <c r="J39" i="2" s="1"/>
  <c r="N22" i="2"/>
  <c r="N34" i="2" s="1"/>
  <c r="N27" i="2"/>
  <c r="R68" i="2"/>
  <c r="R27" i="2"/>
  <c r="R20" i="2"/>
  <c r="R22" i="2" s="1"/>
  <c r="R34" i="2" s="1"/>
  <c r="AL100" i="2"/>
  <c r="R71" i="2"/>
  <c r="AL68" i="2"/>
  <c r="AL71" i="2" s="1"/>
  <c r="I39" i="2"/>
  <c r="H39" i="2"/>
  <c r="AK22" i="2"/>
  <c r="AK34" i="2" s="1"/>
  <c r="AJ39" i="2"/>
  <c r="AL39" i="2"/>
  <c r="M39" i="2"/>
  <c r="AL26" i="2"/>
  <c r="AL28" i="2" s="1"/>
  <c r="AL30" i="2" s="1"/>
  <c r="AL31" i="2" s="1"/>
  <c r="P39" i="2"/>
  <c r="G39" i="2"/>
  <c r="L39" i="2"/>
  <c r="AL34" i="2"/>
  <c r="AK39" i="2"/>
  <c r="R45" i="2"/>
  <c r="N19" i="2"/>
  <c r="O39" i="2"/>
  <c r="R42" i="2"/>
  <c r="Q39" i="2"/>
  <c r="R43" i="2"/>
  <c r="AD77" i="3"/>
  <c r="AD41" i="3"/>
  <c r="AD4" i="3"/>
  <c r="AD43" i="3"/>
  <c r="AD21" i="3"/>
  <c r="AD38" i="3"/>
  <c r="AD55" i="3"/>
  <c r="AD72" i="3"/>
  <c r="AD5" i="3"/>
  <c r="AD23" i="3"/>
  <c r="AD39" i="3"/>
  <c r="AD56" i="3"/>
  <c r="AD7" i="3"/>
  <c r="AD24" i="3"/>
  <c r="AD40" i="3"/>
  <c r="AD57" i="3"/>
  <c r="AD74" i="3"/>
  <c r="AD25" i="3"/>
  <c r="AD58" i="3"/>
  <c r="AD26" i="3"/>
  <c r="AD59" i="3"/>
  <c r="AD76" i="3"/>
  <c r="AC89" i="3"/>
  <c r="AE89" i="3"/>
  <c r="AE92" i="3"/>
  <c r="AE90" i="3"/>
  <c r="AE94" i="3"/>
  <c r="AC94" i="3"/>
  <c r="AE91" i="3"/>
  <c r="AE93" i="3"/>
  <c r="AC91" i="3"/>
  <c r="AC93" i="3"/>
  <c r="AC90" i="3"/>
  <c r="AC92" i="3"/>
  <c r="K39" i="2"/>
  <c r="S39" i="2"/>
  <c r="P26" i="2"/>
  <c r="P28" i="2" s="1"/>
  <c r="P37" i="2" s="1"/>
  <c r="P34" i="2"/>
  <c r="L26" i="2"/>
  <c r="L35" i="2" s="1"/>
  <c r="N26" i="2" l="1"/>
  <c r="N28" i="2" s="1"/>
  <c r="N39" i="2"/>
  <c r="R26" i="2"/>
  <c r="R39" i="2"/>
  <c r="AL73" i="2"/>
  <c r="AK26" i="2"/>
  <c r="AK35" i="2" s="1"/>
  <c r="AL37" i="2"/>
  <c r="AL35" i="2"/>
  <c r="AL36" i="2"/>
  <c r="AD91" i="3"/>
  <c r="AD92" i="3"/>
  <c r="AD93" i="3"/>
  <c r="AD94" i="3"/>
  <c r="AD90" i="3"/>
  <c r="AD89" i="3"/>
  <c r="P35" i="2"/>
  <c r="P30" i="2"/>
  <c r="P31" i="2" s="1"/>
  <c r="L28" i="2"/>
  <c r="L37" i="2" s="1"/>
  <c r="N35" i="2" l="1"/>
  <c r="R28" i="2"/>
  <c r="R35" i="2"/>
  <c r="N30" i="2"/>
  <c r="N37" i="2"/>
  <c r="AK28" i="2"/>
  <c r="AK37" i="2" s="1"/>
  <c r="P36" i="2"/>
  <c r="L30" i="2"/>
  <c r="L31" i="2" s="1"/>
  <c r="R37" i="2" l="1"/>
  <c r="R30" i="2"/>
  <c r="N31" i="2"/>
  <c r="N36" i="2"/>
  <c r="AK30" i="2"/>
  <c r="AK36" i="2" s="1"/>
  <c r="L36" i="2"/>
  <c r="R36" i="2" l="1"/>
  <c r="R31" i="2"/>
  <c r="AK31" i="2"/>
</calcChain>
</file>

<file path=xl/sharedStrings.xml><?xml version="1.0" encoding="utf-8"?>
<sst xmlns="http://schemas.openxmlformats.org/spreadsheetml/2006/main" count="214" uniqueCount="112">
  <si>
    <t>Shares</t>
  </si>
  <si>
    <t>Cash</t>
  </si>
  <si>
    <t>Debt</t>
  </si>
  <si>
    <t>COGS</t>
  </si>
  <si>
    <t>Gross profit</t>
  </si>
  <si>
    <t>M&amp;S</t>
  </si>
  <si>
    <t>G&amp;A</t>
  </si>
  <si>
    <t>OpInc</t>
  </si>
  <si>
    <t>OpEx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</si>
  <si>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</si>
  <si>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</si>
  <si>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</si>
  <si>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</si>
  <si>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</si>
  <si>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</si>
  <si>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</si>
  <si>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</si>
  <si>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</si>
  <si>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Q121</t>
  </si>
  <si>
    <t>Q321</t>
  </si>
  <si>
    <t>Q122</t>
  </si>
  <si>
    <t>Q322</t>
  </si>
  <si>
    <t>Q123</t>
  </si>
  <si>
    <t>Q323</t>
  </si>
  <si>
    <t>Q124</t>
  </si>
  <si>
    <t>Q324</t>
  </si>
  <si>
    <t>Wines &amp; Spirits</t>
  </si>
  <si>
    <t>Fashion &amp; Leather Goods</t>
  </si>
  <si>
    <t>Perfumes &amp; Cosmetics</t>
  </si>
  <si>
    <t>Watches &amp; Jewelry</t>
  </si>
  <si>
    <t>Selective Retailing</t>
  </si>
  <si>
    <t>Revenue Q</t>
  </si>
  <si>
    <t>Revenue 6M</t>
  </si>
  <si>
    <t>United States</t>
  </si>
  <si>
    <t>Japan</t>
  </si>
  <si>
    <t>Asia</t>
  </si>
  <si>
    <t>Europe</t>
  </si>
  <si>
    <t>Wines &amp; Spirits y/y</t>
  </si>
  <si>
    <t>Fashion &amp; Leather Goods y/y</t>
  </si>
  <si>
    <t>Perfumes &amp; Cosmetics y/y</t>
  </si>
  <si>
    <t>Watches &amp; Jewelry y/y</t>
  </si>
  <si>
    <t>Selective Retailing y/y</t>
  </si>
  <si>
    <t>Stores</t>
  </si>
  <si>
    <t>Rev Wines &amp; Spirits</t>
  </si>
  <si>
    <t>Rev Fashion &amp; Leather Goods</t>
  </si>
  <si>
    <t>Rev Perfumes &amp; Cosmetics</t>
  </si>
  <si>
    <t>Rev Watches &amp; Jewelry</t>
  </si>
  <si>
    <t>Rev Selective Retailing</t>
  </si>
  <si>
    <t>France</t>
  </si>
  <si>
    <t>Other markets</t>
  </si>
  <si>
    <t xml:space="preserve">Wines &amp; Spirits </t>
  </si>
  <si>
    <t>Total Revenue</t>
  </si>
  <si>
    <t>Price EUR</t>
  </si>
  <si>
    <t>MC EUR</t>
  </si>
  <si>
    <t>Cash EUR</t>
  </si>
  <si>
    <t>Debt EUR</t>
  </si>
  <si>
    <t>EV EUR</t>
  </si>
  <si>
    <t>Other activities and eliminations</t>
  </si>
  <si>
    <t>Q125</t>
  </si>
  <si>
    <t>Q221</t>
  </si>
  <si>
    <t>Q421</t>
  </si>
  <si>
    <t>Q222</t>
  </si>
  <si>
    <t>Q422</t>
  </si>
  <si>
    <t>Q223</t>
  </si>
  <si>
    <t>Q423</t>
  </si>
  <si>
    <t>Q224</t>
  </si>
  <si>
    <t>Q424</t>
  </si>
  <si>
    <t>y/y</t>
  </si>
  <si>
    <t>Revenue</t>
  </si>
  <si>
    <t>Interest</t>
  </si>
  <si>
    <t>Net cash</t>
  </si>
  <si>
    <t>Goodwill</t>
  </si>
  <si>
    <t>PP&amp;E</t>
  </si>
  <si>
    <t>ROU</t>
  </si>
  <si>
    <t>Joint ventures</t>
  </si>
  <si>
    <t>For sale</t>
  </si>
  <si>
    <t>ONCA</t>
  </si>
  <si>
    <t>Inventories</t>
  </si>
  <si>
    <t>AR</t>
  </si>
  <si>
    <t>OCA</t>
  </si>
  <si>
    <t>Assets</t>
  </si>
  <si>
    <t>Lease</t>
  </si>
  <si>
    <t>Provisions</t>
  </si>
  <si>
    <t>DT</t>
  </si>
  <si>
    <t>AP</t>
  </si>
  <si>
    <t>Liabilties</t>
  </si>
  <si>
    <t>S/E</t>
  </si>
  <si>
    <t>L+S/E</t>
  </si>
  <si>
    <t>MI</t>
  </si>
  <si>
    <t>Model NI</t>
  </si>
  <si>
    <t>Reported NI</t>
  </si>
  <si>
    <t>Dividends from others</t>
  </si>
  <si>
    <t>D&amp;A</t>
  </si>
  <si>
    <t>Adjustments</t>
  </si>
  <si>
    <t>Interest paid</t>
  </si>
  <si>
    <t>Lease interest paid</t>
  </si>
  <si>
    <t>Tax paid</t>
  </si>
  <si>
    <t>WC</t>
  </si>
  <si>
    <t>CFFO</t>
  </si>
  <si>
    <t>CapEx</t>
  </si>
  <si>
    <t>Dividends recieved</t>
  </si>
  <si>
    <t>Tax on investments</t>
  </si>
  <si>
    <t>Acquisitions or sell</t>
  </si>
  <si>
    <t>Strategic</t>
  </si>
  <si>
    <t>CFFI</t>
  </si>
  <si>
    <t>Dividends</t>
  </si>
  <si>
    <t>Equity</t>
  </si>
  <si>
    <t>CFFF</t>
  </si>
  <si>
    <t>FX</t>
  </si>
  <si>
    <t>CIC</t>
  </si>
  <si>
    <t>FCF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</si>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</sst>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1" fillId="0" borderId="0" xfId="0" applyNumberFormat="1" applyFont="1"/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3" fontId="2" fillId="0" borderId="0" xfId="0" applyNumberFormat="1" applyFont="1"/>
    <xf numFmtId="0" fontId="2" fillId="0" borderId="0" xfId="0" applyFont="1"/>
    <xf numFmtId="9" fontId="0" fillId="0" borderId="1" xfId="0" applyNumberFormat="1" applyBorder="1"/>
    <xf numFmtId="0" fontId="1" fillId="0" borderId="0" xfId="0" applyFont="1"/>
    <xf numFmtId="9" fontId="1" fillId="0" borderId="0" xfId="0" applyNumberFormat="1" applyFont="1" applyAlignment="1">
      <alignment horizontal="left"/>
    </xf>
    <xf numFmtId="9" fontId="0" fillId="0" borderId="0" xfId="0" applyNumberFormat="1" applyAlignment="1">
      <alignment horizontal="right"/>
    </xf>
    <xf numFmtId="9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164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19050</xdr:colOff>
      <xdr:row>0</xdr:row>
      <xdr:rowOff>38100</xdr:rowOff>
    </xdr:from>
    <xdr:to>
      <xdr:col>38</xdr:col>
      <xdr:colOff>19050</xdr:colOff>
      <xdr:row>119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342F28-0F8D-CB5B-95CF-C0F5C7BA5D16}"/>
            </a:ext>
          </a:extLst>
        </xdr:cNvPr>
        <xdr:cNvCxnSpPr/>
      </xdr:nvCxnSpPr>
      <xdr:spPr>
        <a:xfrm>
          <a:off x="19745325" y="38100"/>
          <a:ext cx="0" cy="1160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0</xdr:row>
      <xdr:rowOff>28575</xdr:rowOff>
    </xdr:from>
    <xdr:to>
      <xdr:col>19</xdr:col>
      <xdr:colOff>28575</xdr:colOff>
      <xdr:row>119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C07EC54-E612-447B-A289-FF9261371D13}"/>
            </a:ext>
          </a:extLst>
        </xdr:cNvPr>
        <xdr:cNvCxnSpPr/>
      </xdr:nvCxnSpPr>
      <xdr:spPr>
        <a:xfrm>
          <a:off x="13049250" y="28575"/>
          <a:ext cx="0" cy="1160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550F-2C26-41FA-BFB3-CED1A40C7ED3}">
  <dimension ref="K4:L11"/>
  <sheetViews>
    <sheetView workbookViewId="0">
      <selection activeCell="K12" sqref="K12"/>
    </sheetView>
  </sheetViews>
  <sheetFormatPr defaultRowHeight="12.75" x14ac:dyDescent="0.2"/>
  <sheetData>
    <row r="4" spans="11:12" x14ac:dyDescent="0.2">
      <c r="K4" t="s">
        <v>52</v>
      </c>
      <c r="L4" s="1">
        <v>530</v>
      </c>
    </row>
    <row r="5" spans="11:12" x14ac:dyDescent="0.2">
      <c r="K5" t="s">
        <v>0</v>
      </c>
      <c r="L5" s="1">
        <v>499.68104599999998</v>
      </c>
    </row>
    <row r="6" spans="11:12" x14ac:dyDescent="0.2">
      <c r="K6" t="s">
        <v>53</v>
      </c>
      <c r="L6" s="1">
        <f>+L4*L5</f>
        <v>264830.95438000001</v>
      </c>
    </row>
    <row r="7" spans="11:12" x14ac:dyDescent="0.2">
      <c r="K7" t="s">
        <v>54</v>
      </c>
      <c r="L7" s="1">
        <v>9631</v>
      </c>
    </row>
    <row r="8" spans="11:12" x14ac:dyDescent="0.2">
      <c r="K8" t="s">
        <v>55</v>
      </c>
      <c r="L8" s="1">
        <f>12091+10851</f>
        <v>22942</v>
      </c>
    </row>
    <row r="9" spans="11:12" x14ac:dyDescent="0.2">
      <c r="K9" t="s">
        <v>56</v>
      </c>
      <c r="L9" s="1">
        <f>+L6-L7+L8</f>
        <v>278141.95438000001</v>
      </c>
    </row>
    <row r="10" spans="11:12" x14ac:dyDescent="0.2">
      <c r="L10" s="1">
        <v>13000</v>
      </c>
    </row>
    <row r="11" spans="11:12" x14ac:dyDescent="0.2">
      <c r="L11" s="18">
        <f>+L9/L10</f>
        <v>21.395534952307692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41BB-D3A6-40AC-B087-3E7F8ADDB565}">
  <dimension ref="B2:BA106"/>
  <sheetViews>
    <sheetView tabSelected="1" workbookViewId="0">
      <pane xSplit="2" ySplit="2" topLeftCell="AD3" activePane="bottomRight" state="frozen"/>
      <selection pane="topRight" activeCell="C1" sqref="C1"/>
      <selection pane="bottomLeft" activeCell="A3" sqref="A3"/>
      <selection pane="bottomRight" activeCell="AL3" sqref="AL3"/>
    </sheetView>
  </sheetViews>
  <sheetFormatPr defaultRowHeight="12.75" x14ac:dyDescent="0.2"/>
  <cols>
    <col min="1" max="1" width="2.42578125" style="1" customWidth="1"/>
    <col min="2" max="2" width="32.42578125" style="1" bestFit="1" customWidth="1"/>
    <col min="3" max="18" width="9.42578125" style="1" customWidth="1"/>
    <col min="19" max="27" width="9.5703125" style="1" customWidth="1"/>
    <col min="28" max="37" width="9.140625" style="1"/>
    <col min="38" max="38" width="9.7109375" style="1" bestFit="1" customWidth="1"/>
    <col min="39" max="16384" width="9.140625" style="1"/>
  </cols>
  <sheetData>
    <row r="2" spans="2:53" s="5" customFormat="1" x14ac:dyDescent="0.2">
      <c r="C2" s="5" t="s">
        <v>18</v>
      </c>
      <c r="D2" s="5" t="s">
        <v>59</v>
      </c>
      <c r="E2" s="5" t="s">
        <v>19</v>
      </c>
      <c r="F2" s="5" t="s">
        <v>60</v>
      </c>
      <c r="G2" s="5" t="s">
        <v>20</v>
      </c>
      <c r="H2" s="5" t="s">
        <v>61</v>
      </c>
      <c r="I2" s="5" t="s">
        <v>21</v>
      </c>
      <c r="J2" s="5" t="s">
        <v>62</v>
      </c>
      <c r="K2" s="5" t="s">
        <v>22</v>
      </c>
      <c r="L2" s="5" t="s">
        <v>63</v>
      </c>
      <c r="M2" s="5" t="s">
        <v>23</v>
      </c>
      <c r="N2" s="5" t="s">
        <v>64</v>
      </c>
      <c r="O2" s="5" t="s">
        <v>24</v>
      </c>
      <c r="P2" s="5" t="s">
        <v>65</v>
      </c>
      <c r="Q2" s="5" t="s">
        <v>25</v>
      </c>
      <c r="R2" s="5" t="s">
        <v>66</v>
      </c>
      <c r="S2" s="5" t="s">
        <v>58</v>
      </c>
      <c r="U2" s="19">
        <v>2007</v>
      </c>
      <c r="V2" s="19">
        <f>+U2+1</f>
        <v>2008</v>
      </c>
      <c r="W2" s="19">
        <f>+V2+1</f>
        <v>2009</v>
      </c>
      <c r="X2" s="19">
        <f t="shared" ref="X2:AA2" si="0">+W2+1</f>
        <v>2010</v>
      </c>
      <c r="Y2" s="19">
        <f t="shared" si="0"/>
        <v>2011</v>
      </c>
      <c r="Z2" s="19">
        <f t="shared" si="0"/>
        <v>2012</v>
      </c>
      <c r="AA2" s="19">
        <f t="shared" si="0"/>
        <v>2013</v>
      </c>
      <c r="AB2" s="19">
        <v>2014</v>
      </c>
      <c r="AC2" s="19">
        <f>+AB2+1</f>
        <v>2015</v>
      </c>
      <c r="AD2" s="19">
        <f t="shared" ref="AD2:BA2" si="1">+AC2+1</f>
        <v>2016</v>
      </c>
      <c r="AE2" s="19">
        <f t="shared" si="1"/>
        <v>2017</v>
      </c>
      <c r="AF2" s="19">
        <f t="shared" si="1"/>
        <v>2018</v>
      </c>
      <c r="AG2" s="19">
        <f t="shared" si="1"/>
        <v>2019</v>
      </c>
      <c r="AH2" s="19">
        <f t="shared" si="1"/>
        <v>2020</v>
      </c>
      <c r="AI2" s="19">
        <f t="shared" si="1"/>
        <v>2021</v>
      </c>
      <c r="AJ2" s="19">
        <f t="shared" si="1"/>
        <v>2022</v>
      </c>
      <c r="AK2" s="19">
        <f t="shared" si="1"/>
        <v>2023</v>
      </c>
      <c r="AL2" s="19">
        <f t="shared" si="1"/>
        <v>2024</v>
      </c>
      <c r="AM2" s="19">
        <f t="shared" si="1"/>
        <v>2025</v>
      </c>
      <c r="AN2" s="19">
        <f t="shared" si="1"/>
        <v>2026</v>
      </c>
      <c r="AO2" s="19">
        <f t="shared" si="1"/>
        <v>2027</v>
      </c>
      <c r="AP2" s="19">
        <f t="shared" si="1"/>
        <v>2028</v>
      </c>
      <c r="AQ2" s="19">
        <f t="shared" si="1"/>
        <v>2029</v>
      </c>
      <c r="AR2" s="19">
        <f t="shared" si="1"/>
        <v>2030</v>
      </c>
      <c r="AS2" s="19">
        <f t="shared" si="1"/>
        <v>2031</v>
      </c>
      <c r="AT2" s="19">
        <f t="shared" si="1"/>
        <v>2032</v>
      </c>
      <c r="AU2" s="19">
        <f t="shared" si="1"/>
        <v>2033</v>
      </c>
      <c r="AV2" s="19">
        <f t="shared" si="1"/>
        <v>2034</v>
      </c>
      <c r="AW2" s="19">
        <f t="shared" si="1"/>
        <v>2035</v>
      </c>
      <c r="AX2" s="19">
        <f t="shared" si="1"/>
        <v>2036</v>
      </c>
      <c r="AY2" s="19">
        <f t="shared" si="1"/>
        <v>2037</v>
      </c>
      <c r="AZ2" s="19">
        <f t="shared" si="1"/>
        <v>2038</v>
      </c>
      <c r="BA2" s="19">
        <f t="shared" si="1"/>
        <v>2039</v>
      </c>
    </row>
    <row r="3" spans="2:53" s="5" customFormat="1" x14ac:dyDescent="0.2">
      <c r="B3" s="8" t="s">
        <v>42</v>
      </c>
      <c r="AI3" s="5">
        <v>5556</v>
      </c>
      <c r="AJ3" s="5">
        <v>5664</v>
      </c>
      <c r="AK3" s="5">
        <v>6097</v>
      </c>
    </row>
    <row r="4" spans="2:53" s="5" customFormat="1" x14ac:dyDescent="0.2"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2:53" s="5" customFormat="1" x14ac:dyDescent="0.2">
      <c r="B5" s="8" t="s">
        <v>33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2:53" s="5" customFormat="1" x14ac:dyDescent="0.2">
      <c r="B6" s="8" t="s">
        <v>34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2:53" s="5" customFormat="1" x14ac:dyDescent="0.2">
      <c r="B7" s="8" t="s">
        <v>35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2:53" s="5" customFormat="1" x14ac:dyDescent="0.2">
      <c r="B8" s="8" t="s">
        <v>36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2:53" s="5" customFormat="1" x14ac:dyDescent="0.2">
      <c r="B9" s="8" t="s">
        <v>48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2:53" s="5" customFormat="1" x14ac:dyDescent="0.2">
      <c r="B10" s="8" t="s">
        <v>49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2:53" s="5" customFormat="1" x14ac:dyDescent="0.2">
      <c r="B11" s="8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2:53" s="5" customFormat="1" x14ac:dyDescent="0.2">
      <c r="B12" s="8" t="s">
        <v>27</v>
      </c>
      <c r="G12" s="5">
        <v>9123</v>
      </c>
      <c r="H12" s="5">
        <v>9013</v>
      </c>
      <c r="I12" s="5">
        <v>9687</v>
      </c>
      <c r="K12" s="5">
        <v>10728</v>
      </c>
      <c r="L12" s="5">
        <v>10434</v>
      </c>
      <c r="M12" s="5">
        <v>9750</v>
      </c>
      <c r="N12" s="5">
        <f t="shared" ref="N12:N17" si="2">+AK12-SUM(K12:M12)</f>
        <v>11257</v>
      </c>
      <c r="O12" s="5">
        <v>10490</v>
      </c>
      <c r="P12" s="5">
        <v>10281</v>
      </c>
      <c r="Q12" s="5">
        <v>9151</v>
      </c>
      <c r="R12" s="5">
        <v>11139</v>
      </c>
      <c r="S12" s="5">
        <v>10108</v>
      </c>
      <c r="AI12" s="5">
        <v>30896</v>
      </c>
      <c r="AJ12" s="5">
        <v>38648</v>
      </c>
      <c r="AK12" s="5">
        <v>42169</v>
      </c>
      <c r="AL12" s="5">
        <v>41060</v>
      </c>
    </row>
    <row r="13" spans="2:53" s="5" customFormat="1" x14ac:dyDescent="0.2">
      <c r="B13" s="8" t="s">
        <v>30</v>
      </c>
      <c r="G13" s="5">
        <v>3040</v>
      </c>
      <c r="H13" s="5">
        <v>3591</v>
      </c>
      <c r="I13" s="5">
        <v>3465</v>
      </c>
      <c r="K13" s="5">
        <v>3961</v>
      </c>
      <c r="L13" s="5">
        <v>4394</v>
      </c>
      <c r="M13" s="5">
        <v>4076</v>
      </c>
      <c r="N13" s="5">
        <f>+AK13-SUM(K13:M13)</f>
        <v>5454</v>
      </c>
      <c r="O13" s="5">
        <v>4175</v>
      </c>
      <c r="P13" s="5">
        <v>4457</v>
      </c>
      <c r="Q13" s="5">
        <v>3927</v>
      </c>
      <c r="R13" s="5">
        <v>5703</v>
      </c>
      <c r="S13" s="5">
        <v>4189</v>
      </c>
      <c r="AI13" s="5">
        <v>11754</v>
      </c>
      <c r="AJ13" s="5">
        <v>14852</v>
      </c>
      <c r="AK13" s="5">
        <v>17885</v>
      </c>
      <c r="AL13" s="5">
        <v>18262</v>
      </c>
    </row>
    <row r="14" spans="2:53" s="5" customFormat="1" x14ac:dyDescent="0.2">
      <c r="B14" s="8" t="s">
        <v>29</v>
      </c>
      <c r="G14" s="5">
        <v>2338</v>
      </c>
      <c r="H14" s="5">
        <v>2570</v>
      </c>
      <c r="I14" s="5">
        <v>2666</v>
      </c>
      <c r="K14" s="5">
        <v>2589</v>
      </c>
      <c r="L14" s="5">
        <v>2839</v>
      </c>
      <c r="M14" s="5">
        <v>2524</v>
      </c>
      <c r="N14" s="5">
        <v>2951</v>
      </c>
      <c r="O14" s="5">
        <v>2466</v>
      </c>
      <c r="P14" s="5">
        <v>2685</v>
      </c>
      <c r="Q14" s="5">
        <v>2386</v>
      </c>
      <c r="R14" s="5">
        <v>3041</v>
      </c>
      <c r="S14" s="5">
        <v>2482</v>
      </c>
      <c r="AI14" s="5">
        <v>8964</v>
      </c>
      <c r="AJ14" s="5">
        <v>10581</v>
      </c>
      <c r="AK14" s="5">
        <v>10902</v>
      </c>
      <c r="AL14" s="5">
        <v>10577</v>
      </c>
    </row>
    <row r="15" spans="2:53" s="5" customFormat="1" x14ac:dyDescent="0.2">
      <c r="B15" s="8" t="s">
        <v>28</v>
      </c>
      <c r="G15" s="5">
        <v>1905</v>
      </c>
      <c r="H15" s="5">
        <v>1714</v>
      </c>
      <c r="I15" s="5">
        <v>1959</v>
      </c>
      <c r="K15" s="5">
        <v>2115</v>
      </c>
      <c r="L15" s="5">
        <v>1913</v>
      </c>
      <c r="M15" s="5">
        <v>1993</v>
      </c>
      <c r="N15" s="5">
        <f t="shared" si="2"/>
        <v>2250</v>
      </c>
      <c r="O15" s="5">
        <v>2182</v>
      </c>
      <c r="P15" s="5">
        <v>1953</v>
      </c>
      <c r="Q15" s="5">
        <v>2012</v>
      </c>
      <c r="R15" s="5">
        <v>2270</v>
      </c>
      <c r="S15" s="5">
        <v>2178</v>
      </c>
      <c r="AI15" s="5">
        <v>6608</v>
      </c>
      <c r="AJ15" s="5">
        <v>7722</v>
      </c>
      <c r="AK15" s="5">
        <v>8271</v>
      </c>
      <c r="AL15" s="5">
        <v>8417</v>
      </c>
    </row>
    <row r="16" spans="2:53" s="5" customFormat="1" x14ac:dyDescent="0.2">
      <c r="B16" s="8" t="s">
        <v>26</v>
      </c>
      <c r="G16" s="5">
        <v>1638</v>
      </c>
      <c r="H16" s="5">
        <v>1689</v>
      </c>
      <c r="I16" s="5">
        <v>1899</v>
      </c>
      <c r="K16" s="5">
        <v>1694</v>
      </c>
      <c r="L16" s="5">
        <v>1486</v>
      </c>
      <c r="M16" s="5">
        <v>1509</v>
      </c>
      <c r="N16" s="5">
        <v>1912</v>
      </c>
      <c r="O16" s="5">
        <v>1417</v>
      </c>
      <c r="P16" s="5">
        <v>1391</v>
      </c>
      <c r="Q16" s="5">
        <v>1386</v>
      </c>
      <c r="R16" s="5">
        <v>1669</v>
      </c>
      <c r="S16" s="5">
        <v>1305</v>
      </c>
      <c r="AI16" s="5">
        <v>5974</v>
      </c>
      <c r="AJ16" s="5">
        <v>7099</v>
      </c>
      <c r="AK16" s="5">
        <v>6602</v>
      </c>
      <c r="AL16" s="5">
        <v>5862</v>
      </c>
    </row>
    <row r="17" spans="2:53" s="5" customFormat="1" x14ac:dyDescent="0.2">
      <c r="B17" s="8" t="s">
        <v>57</v>
      </c>
      <c r="G17" s="5">
        <v>-41</v>
      </c>
      <c r="H17" s="5">
        <v>149</v>
      </c>
      <c r="I17" s="5">
        <v>79</v>
      </c>
      <c r="K17" s="5">
        <v>-52</v>
      </c>
      <c r="L17" s="5">
        <v>140</v>
      </c>
      <c r="M17" s="5">
        <v>113</v>
      </c>
      <c r="N17" s="5">
        <f t="shared" si="2"/>
        <v>123</v>
      </c>
      <c r="O17" s="5">
        <v>-36</v>
      </c>
      <c r="P17" s="5">
        <v>216</v>
      </c>
      <c r="Q17" s="5">
        <v>214</v>
      </c>
      <c r="R17" s="5">
        <v>108</v>
      </c>
      <c r="S17" s="5">
        <v>49</v>
      </c>
      <c r="AK17" s="5">
        <v>324</v>
      </c>
      <c r="AL17" s="5">
        <v>504</v>
      </c>
    </row>
    <row r="18" spans="2:53" s="5" customFormat="1" x14ac:dyDescent="0.2">
      <c r="B18" s="8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2:53" s="5" customFormat="1" x14ac:dyDescent="0.2">
      <c r="B19" s="8" t="s">
        <v>31</v>
      </c>
      <c r="C19" s="5">
        <f>+SUM(C12:C17)</f>
        <v>0</v>
      </c>
      <c r="D19" s="5">
        <f>+SUM(D12:D17)</f>
        <v>0</v>
      </c>
      <c r="E19" s="5">
        <f>+SUM(E12:E17)</f>
        <v>0</v>
      </c>
      <c r="F19" s="5">
        <f>+SUM(F12:F17)</f>
        <v>0</v>
      </c>
      <c r="G19" s="5">
        <f>+SUM(G12:G17)</f>
        <v>18003</v>
      </c>
      <c r="H19" s="5">
        <f>+SUM(H12:H17)</f>
        <v>18726</v>
      </c>
      <c r="I19" s="5">
        <f>+SUM(I12:I17)</f>
        <v>19755</v>
      </c>
      <c r="J19" s="5">
        <f>+AJ20-SUM(G19:I19)</f>
        <v>22418</v>
      </c>
      <c r="K19" s="5">
        <f>+SUM(K12:K17)</f>
        <v>21035</v>
      </c>
      <c r="L19" s="5">
        <f>+SUM(L12:L17)</f>
        <v>21206</v>
      </c>
      <c r="M19" s="5">
        <f>+SUM(M12:M17)</f>
        <v>19965</v>
      </c>
      <c r="N19" s="5">
        <f>+SUM(N12:N17)</f>
        <v>23947</v>
      </c>
      <c r="O19" s="5">
        <f>+SUM(O12:O17)</f>
        <v>20694</v>
      </c>
      <c r="P19" s="5">
        <f>+SUM(P12:P17)</f>
        <v>20983</v>
      </c>
      <c r="Q19" s="5">
        <f>+SUM(Q12:Q17)</f>
        <v>19076</v>
      </c>
      <c r="R19" s="5">
        <f>+SUM(R12:R17)</f>
        <v>23930</v>
      </c>
      <c r="S19" s="5">
        <f>+SUM(S12:S17)</f>
        <v>20311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2:53" s="3" customFormat="1" x14ac:dyDescent="0.2">
      <c r="B20" s="3" t="s">
        <v>32</v>
      </c>
      <c r="L20" s="3">
        <v>42240</v>
      </c>
      <c r="N20" s="3">
        <f>+AK20-L20</f>
        <v>43913</v>
      </c>
      <c r="P20" s="3">
        <v>41677</v>
      </c>
      <c r="R20" s="3">
        <f>+AL20-P20</f>
        <v>43005</v>
      </c>
      <c r="AI20" s="3">
        <f>+SUM(AI12:AI17)</f>
        <v>64196</v>
      </c>
      <c r="AJ20" s="3">
        <f>+SUM(AJ12:AJ17)</f>
        <v>78902</v>
      </c>
      <c r="AK20" s="3">
        <f>+SUM(AK12:AK17)</f>
        <v>86153</v>
      </c>
      <c r="AL20" s="3">
        <f>+SUM(AL12:AL17)</f>
        <v>84682</v>
      </c>
    </row>
    <row r="21" spans="2:53" x14ac:dyDescent="0.2">
      <c r="B21" s="1" t="s">
        <v>3</v>
      </c>
      <c r="L21" s="1">
        <v>12923</v>
      </c>
      <c r="N21" s="1">
        <f>+AK21-L21</f>
        <v>13953</v>
      </c>
      <c r="P21" s="1">
        <v>12984</v>
      </c>
      <c r="R21" s="1">
        <f>+AL21-P21</f>
        <v>14934</v>
      </c>
      <c r="AK21" s="1">
        <v>26876</v>
      </c>
      <c r="AL21" s="1">
        <v>27918</v>
      </c>
    </row>
    <row r="22" spans="2:53" s="3" customFormat="1" x14ac:dyDescent="0.2">
      <c r="B22" s="3" t="s">
        <v>4</v>
      </c>
      <c r="L22" s="3">
        <f>+L20-L21</f>
        <v>29317</v>
      </c>
      <c r="N22" s="3">
        <f>+N20-N21</f>
        <v>29960</v>
      </c>
      <c r="P22" s="3">
        <f>+P20-P21</f>
        <v>28693</v>
      </c>
      <c r="R22" s="3">
        <f>+R20-R21</f>
        <v>28071</v>
      </c>
      <c r="AK22" s="3">
        <f>+AK20-AK21</f>
        <v>59277</v>
      </c>
      <c r="AL22" s="3">
        <f>+AL20-AL21</f>
        <v>56764</v>
      </c>
    </row>
    <row r="23" spans="2:53" x14ac:dyDescent="0.2">
      <c r="B23" s="1" t="s">
        <v>5</v>
      </c>
      <c r="L23" s="1">
        <v>14915</v>
      </c>
      <c r="N23" s="1">
        <f t="shared" ref="N23:N24" si="3">+AK23-L23</f>
        <v>15853</v>
      </c>
      <c r="P23" s="1">
        <v>14999</v>
      </c>
      <c r="R23" s="1">
        <f t="shared" ref="R23:R24" si="4">+AL23-P23</f>
        <v>16003</v>
      </c>
      <c r="AK23" s="1">
        <v>30768</v>
      </c>
      <c r="AL23" s="1">
        <v>31002</v>
      </c>
    </row>
    <row r="24" spans="2:53" x14ac:dyDescent="0.2">
      <c r="B24" s="1" t="s">
        <v>6</v>
      </c>
      <c r="L24" s="1">
        <v>2823</v>
      </c>
      <c r="N24" s="1">
        <f t="shared" si="3"/>
        <v>2891</v>
      </c>
      <c r="P24" s="1">
        <v>3035</v>
      </c>
      <c r="R24" s="1">
        <f t="shared" si="4"/>
        <v>3185</v>
      </c>
      <c r="AK24" s="1">
        <v>5714</v>
      </c>
      <c r="AL24" s="1">
        <v>6220</v>
      </c>
    </row>
    <row r="25" spans="2:53" x14ac:dyDescent="0.2">
      <c r="B25" s="1" t="s">
        <v>8</v>
      </c>
      <c r="L25" s="1">
        <f>+SUM(L23:L24)</f>
        <v>17738</v>
      </c>
      <c r="N25" s="1">
        <f>+SUM(N23:N24)</f>
        <v>18744</v>
      </c>
      <c r="P25" s="1">
        <f>+SUM(P23:P24)</f>
        <v>18034</v>
      </c>
      <c r="R25" s="1">
        <f>+SUM(R23:R24)</f>
        <v>19188</v>
      </c>
      <c r="AK25" s="1">
        <f>+SUM(AK23:AK24)</f>
        <v>36482</v>
      </c>
      <c r="AL25" s="1">
        <f>+SUM(AL23:AL24)</f>
        <v>37222</v>
      </c>
    </row>
    <row r="26" spans="2:53" s="3" customFormat="1" x14ac:dyDescent="0.2">
      <c r="B26" s="3" t="s">
        <v>7</v>
      </c>
      <c r="L26" s="3">
        <f>+L22-L25</f>
        <v>11579</v>
      </c>
      <c r="N26" s="3">
        <f>+N22-N25</f>
        <v>11216</v>
      </c>
      <c r="P26" s="3">
        <f>+P22-P25</f>
        <v>10659</v>
      </c>
      <c r="R26" s="3">
        <f>+R22-R25</f>
        <v>8883</v>
      </c>
      <c r="AK26" s="3">
        <f>+AK22-AK25</f>
        <v>22795</v>
      </c>
      <c r="AL26" s="3">
        <f>+AL22-AL25</f>
        <v>19542</v>
      </c>
    </row>
    <row r="27" spans="2:53" x14ac:dyDescent="0.2">
      <c r="B27" s="1" t="s">
        <v>69</v>
      </c>
      <c r="L27" s="1">
        <f>-171-160</f>
        <v>-331</v>
      </c>
      <c r="N27" s="1">
        <f t="shared" ref="N27:N29" si="5">+AK27-L27</f>
        <v>-429</v>
      </c>
      <c r="P27" s="1">
        <f>-235-241</f>
        <v>-476</v>
      </c>
      <c r="R27" s="1">
        <f>+AL27-P27</f>
        <v>-476</v>
      </c>
      <c r="AK27" s="1">
        <f>-367-393</f>
        <v>-760</v>
      </c>
      <c r="AL27" s="1">
        <f>-442-510</f>
        <v>-952</v>
      </c>
    </row>
    <row r="28" spans="2:53" x14ac:dyDescent="0.2">
      <c r="B28" s="1" t="s">
        <v>9</v>
      </c>
      <c r="L28" s="1">
        <f>+L26+SUM(L27:L27)</f>
        <v>11248</v>
      </c>
      <c r="N28" s="1">
        <f>+N26+SUM(N27:N27)</f>
        <v>10787</v>
      </c>
      <c r="P28" s="1">
        <f>+P26+SUM(P27:P27)</f>
        <v>10183</v>
      </c>
      <c r="R28" s="1">
        <f>+R26+SUM(R27:R27)</f>
        <v>8407</v>
      </c>
      <c r="AK28" s="1">
        <f>+AK26+SUM(AK27:AK27)</f>
        <v>22035</v>
      </c>
      <c r="AL28" s="1">
        <f>+AL26+SUM(AL27:AL27)</f>
        <v>18590</v>
      </c>
    </row>
    <row r="29" spans="2:53" x14ac:dyDescent="0.2">
      <c r="B29" s="1" t="s">
        <v>10</v>
      </c>
      <c r="L29" s="1">
        <v>3129</v>
      </c>
      <c r="N29" s="1">
        <f t="shared" si="5"/>
        <v>2544</v>
      </c>
      <c r="P29" s="1">
        <v>2805</v>
      </c>
      <c r="R29" s="1">
        <f>+AL29-P29</f>
        <v>2352</v>
      </c>
      <c r="AK29" s="1">
        <v>5673</v>
      </c>
      <c r="AL29" s="1">
        <v>5157</v>
      </c>
    </row>
    <row r="30" spans="2:53" s="3" customFormat="1" x14ac:dyDescent="0.2">
      <c r="B30" s="3" t="s">
        <v>11</v>
      </c>
      <c r="L30" s="3">
        <f>+L28-L29</f>
        <v>8119</v>
      </c>
      <c r="N30" s="3">
        <f>+N28-N29</f>
        <v>8243</v>
      </c>
      <c r="P30" s="3">
        <f>+P28-P29</f>
        <v>7378</v>
      </c>
      <c r="R30" s="3">
        <f>+R28-R29</f>
        <v>6055</v>
      </c>
      <c r="AK30" s="3">
        <f>+AK28-AK29</f>
        <v>16362</v>
      </c>
      <c r="AL30" s="3">
        <f>+AL28-AL29</f>
        <v>13433</v>
      </c>
    </row>
    <row r="31" spans="2:53" x14ac:dyDescent="0.2">
      <c r="B31" s="1" t="s">
        <v>12</v>
      </c>
      <c r="L31" s="4">
        <f>+L30/L32</f>
        <v>16.212398353264426</v>
      </c>
      <c r="M31" s="4"/>
      <c r="N31" s="4">
        <f>+N30/N32</f>
        <v>16.47597219609035</v>
      </c>
      <c r="P31" s="4">
        <f>+P30/P32</f>
        <v>14.76096780371434</v>
      </c>
      <c r="Q31" s="4"/>
      <c r="R31" s="4">
        <f>+R30/R32</f>
        <v>12.117729996906867</v>
      </c>
      <c r="AK31" s="4">
        <f>+AK30/AK32</f>
        <v>32.704095241105215</v>
      </c>
      <c r="AL31" s="4">
        <f>+AL30/AL32</f>
        <v>26.883148975796853</v>
      </c>
    </row>
    <row r="32" spans="2:53" x14ac:dyDescent="0.2">
      <c r="B32" s="1" t="s">
        <v>0</v>
      </c>
      <c r="L32" s="1">
        <v>500.78957000000003</v>
      </c>
      <c r="N32" s="1">
        <v>500.30431599999997</v>
      </c>
      <c r="P32" s="1">
        <v>499.83172500000001</v>
      </c>
      <c r="R32" s="1">
        <v>499.68104599999998</v>
      </c>
      <c r="AK32" s="1">
        <v>500.30431599999997</v>
      </c>
      <c r="AL32" s="1">
        <v>499.68104599999998</v>
      </c>
    </row>
    <row r="34" spans="2:38" s="2" customFormat="1" x14ac:dyDescent="0.2">
      <c r="B34" s="2" t="s">
        <v>13</v>
      </c>
      <c r="L34" s="2">
        <f>+L22/L20</f>
        <v>0.69405776515151518</v>
      </c>
      <c r="N34" s="2">
        <f>+N22/N20</f>
        <v>0.68225810124564479</v>
      </c>
      <c r="P34" s="2">
        <f>+P22/P20</f>
        <v>0.6884612616071214</v>
      </c>
      <c r="R34" s="2">
        <f>+R22/R20</f>
        <v>0.6527380537146843</v>
      </c>
      <c r="AK34" s="2">
        <f>+AK22/AK20</f>
        <v>0.68804336471161776</v>
      </c>
      <c r="AL34" s="2">
        <f>+AL22/AL20</f>
        <v>0.67031954842823738</v>
      </c>
    </row>
    <row r="35" spans="2:38" s="2" customFormat="1" x14ac:dyDescent="0.2">
      <c r="B35" s="2" t="s">
        <v>14</v>
      </c>
      <c r="L35" s="2">
        <f>+L26/L20</f>
        <v>0.27412405303030302</v>
      </c>
      <c r="N35" s="2">
        <f>+N26/N20</f>
        <v>0.25541411427140026</v>
      </c>
      <c r="P35" s="2">
        <f>+P26/P20</f>
        <v>0.25575257336180629</v>
      </c>
      <c r="R35" s="2">
        <f>+R26/R20</f>
        <v>0.20655737704918034</v>
      </c>
      <c r="AK35" s="2">
        <f>+AK26/AK20</f>
        <v>0.2645874200550184</v>
      </c>
      <c r="AL35" s="2">
        <f>+AL26/AL20</f>
        <v>0.23076923076923078</v>
      </c>
    </row>
    <row r="36" spans="2:38" s="2" customFormat="1" x14ac:dyDescent="0.2">
      <c r="B36" s="2" t="s">
        <v>15</v>
      </c>
      <c r="L36" s="2">
        <f>+L30/L20</f>
        <v>0.19221117424242423</v>
      </c>
      <c r="N36" s="2">
        <f>+N30/N20</f>
        <v>0.18771206704165053</v>
      </c>
      <c r="P36" s="2">
        <f>+P30/P20</f>
        <v>0.17702809703193609</v>
      </c>
      <c r="R36" s="2">
        <f>+R30/R20</f>
        <v>0.14079758167654924</v>
      </c>
      <c r="AK36" s="2">
        <f>+AK30/AK20</f>
        <v>0.1899179366940211</v>
      </c>
      <c r="AL36" s="2">
        <f>+AL30/AL20</f>
        <v>0.15862875227321035</v>
      </c>
    </row>
    <row r="37" spans="2:38" s="2" customFormat="1" x14ac:dyDescent="0.2">
      <c r="B37" s="2" t="s">
        <v>16</v>
      </c>
      <c r="L37" s="2">
        <f>+L29/L28</f>
        <v>0.27818278805120911</v>
      </c>
      <c r="N37" s="2">
        <f>+N29/N28</f>
        <v>0.23583943635857976</v>
      </c>
      <c r="P37" s="2">
        <f>+P29/P28</f>
        <v>0.27545909849749584</v>
      </c>
      <c r="R37" s="2">
        <f>+R29/R28</f>
        <v>0.279766860949209</v>
      </c>
      <c r="AK37" s="2">
        <f>+AK29/AK28</f>
        <v>0.25745405037440433</v>
      </c>
      <c r="AL37" s="2">
        <f>+AL29/AL28</f>
        <v>0.27740720817643894</v>
      </c>
    </row>
    <row r="38" spans="2:38" s="2" customFormat="1" x14ac:dyDescent="0.2"/>
    <row r="39" spans="2:38" s="7" customFormat="1" x14ac:dyDescent="0.2">
      <c r="B39" s="7" t="s">
        <v>17</v>
      </c>
      <c r="G39" s="7" t="e">
        <f t="shared" ref="G39:S39" si="6">+G19/C19-1</f>
        <v>#DIV/0!</v>
      </c>
      <c r="H39" s="7" t="e">
        <f t="shared" si="6"/>
        <v>#DIV/0!</v>
      </c>
      <c r="I39" s="7" t="e">
        <f t="shared" si="6"/>
        <v>#DIV/0!</v>
      </c>
      <c r="J39" s="7" t="e">
        <f t="shared" si="6"/>
        <v>#DIV/0!</v>
      </c>
      <c r="K39" s="7">
        <f t="shared" si="6"/>
        <v>0.16841637504860296</v>
      </c>
      <c r="L39" s="7">
        <f t="shared" si="6"/>
        <v>0.13243618498344545</v>
      </c>
      <c r="M39" s="7">
        <f t="shared" si="6"/>
        <v>1.0630220197418438E-2</v>
      </c>
      <c r="N39" s="7">
        <f>+N19/J19-1</f>
        <v>6.8204121687929442E-2</v>
      </c>
      <c r="O39" s="7">
        <f t="shared" si="6"/>
        <v>-1.6211076776800559E-2</v>
      </c>
      <c r="P39" s="7">
        <f t="shared" si="6"/>
        <v>-1.0515891728755999E-2</v>
      </c>
      <c r="Q39" s="7">
        <f t="shared" si="6"/>
        <v>-4.452792386676685E-2</v>
      </c>
      <c r="R39" s="7">
        <f t="shared" si="6"/>
        <v>-7.0990103144441541E-4</v>
      </c>
      <c r="S39" s="7">
        <f t="shared" si="6"/>
        <v>-1.85077800328598E-2</v>
      </c>
      <c r="AC39" s="7" t="e">
        <f t="shared" ref="AC39:AL39" si="7">+AC20/AB20-1</f>
        <v>#DIV/0!</v>
      </c>
      <c r="AD39" s="7" t="e">
        <f t="shared" si="7"/>
        <v>#DIV/0!</v>
      </c>
      <c r="AE39" s="7" t="e">
        <f t="shared" si="7"/>
        <v>#DIV/0!</v>
      </c>
      <c r="AF39" s="7" t="e">
        <f t="shared" si="7"/>
        <v>#DIV/0!</v>
      </c>
      <c r="AG39" s="7" t="e">
        <f t="shared" si="7"/>
        <v>#DIV/0!</v>
      </c>
      <c r="AH39" s="7" t="e">
        <f t="shared" si="7"/>
        <v>#DIV/0!</v>
      </c>
      <c r="AI39" s="7" t="e">
        <f t="shared" si="7"/>
        <v>#DIV/0!</v>
      </c>
      <c r="AJ39" s="7">
        <f t="shared" si="7"/>
        <v>0.22907969343884349</v>
      </c>
      <c r="AK39" s="7">
        <f t="shared" si="7"/>
        <v>9.1898811183493523E-2</v>
      </c>
      <c r="AL39" s="7">
        <f t="shared" si="7"/>
        <v>-1.7074274836627823E-2</v>
      </c>
    </row>
    <row r="41" spans="2:38" s="2" customFormat="1" x14ac:dyDescent="0.2">
      <c r="B41" s="9" t="s">
        <v>37</v>
      </c>
      <c r="K41" s="2">
        <f>+K16/G16-1</f>
        <v>3.4188034188034289E-2</v>
      </c>
      <c r="L41" s="2">
        <f>+L16/H16-1</f>
        <v>-0.12018946121965657</v>
      </c>
      <c r="M41" s="2">
        <f>+M16/I16-1</f>
        <v>-0.20537124802527651</v>
      </c>
      <c r="N41" s="2" t="e">
        <f>+N16/J16-1</f>
        <v>#DIV/0!</v>
      </c>
      <c r="O41" s="2">
        <f>+O16/K16-1</f>
        <v>-0.16351829988193622</v>
      </c>
      <c r="P41" s="2">
        <f>+P16/L16-1</f>
        <v>-6.3930013458950219E-2</v>
      </c>
      <c r="Q41" s="2">
        <f>+Q16/M16-1</f>
        <v>-8.1510934393638212E-2</v>
      </c>
      <c r="R41" s="2">
        <f>+R16/N16-1</f>
        <v>-0.127092050209205</v>
      </c>
      <c r="S41" s="2">
        <f>+S16/O16-1</f>
        <v>-7.9040225829216659E-2</v>
      </c>
    </row>
    <row r="42" spans="2:38" s="2" customFormat="1" x14ac:dyDescent="0.2">
      <c r="B42" s="9" t="s">
        <v>38</v>
      </c>
      <c r="K42" s="2">
        <f>+K12/G12-1</f>
        <v>0.17592897073331137</v>
      </c>
      <c r="L42" s="2">
        <f>+L12/H12-1</f>
        <v>0.15766115610784426</v>
      </c>
      <c r="M42" s="2">
        <f>+M12/I12-1</f>
        <v>6.5035614741406622E-3</v>
      </c>
      <c r="N42" s="2" t="e">
        <f>+N12/J12-1</f>
        <v>#DIV/0!</v>
      </c>
      <c r="O42" s="2">
        <f>+O12/K12-1</f>
        <v>-2.2184936614466855E-2</v>
      </c>
      <c r="P42" s="2">
        <f>+P12/L12-1</f>
        <v>-1.4663599769982771E-2</v>
      </c>
      <c r="Q42" s="2">
        <f>+Q12/M12-1</f>
        <v>-6.1435897435897391E-2</v>
      </c>
      <c r="R42" s="2">
        <f>+R12/N12-1</f>
        <v>-1.0482366527494014E-2</v>
      </c>
      <c r="S42" s="2">
        <f>+S12/O12-1</f>
        <v>-3.6415633937082914E-2</v>
      </c>
    </row>
    <row r="43" spans="2:38" s="2" customFormat="1" x14ac:dyDescent="0.2">
      <c r="B43" s="9" t="s">
        <v>39</v>
      </c>
      <c r="K43" s="2">
        <f t="shared" ref="K43:S43" si="8">+K15/G15-1</f>
        <v>0.11023622047244097</v>
      </c>
      <c r="L43" s="2">
        <f t="shared" si="8"/>
        <v>0.11610268378063004</v>
      </c>
      <c r="M43" s="2">
        <f t="shared" si="8"/>
        <v>1.7355793772332762E-2</v>
      </c>
      <c r="N43" s="2" t="e">
        <f t="shared" si="8"/>
        <v>#DIV/0!</v>
      </c>
      <c r="O43" s="2">
        <f t="shared" si="8"/>
        <v>3.1678486997635869E-2</v>
      </c>
      <c r="P43" s="2">
        <f t="shared" si="8"/>
        <v>2.0909566126502854E-2</v>
      </c>
      <c r="Q43" s="2">
        <f t="shared" si="8"/>
        <v>9.533366783743169E-3</v>
      </c>
      <c r="R43" s="2">
        <f t="shared" si="8"/>
        <v>8.8888888888889461E-3</v>
      </c>
      <c r="S43" s="2">
        <f t="shared" si="8"/>
        <v>-1.8331805682859637E-3</v>
      </c>
    </row>
    <row r="44" spans="2:38" s="2" customFormat="1" x14ac:dyDescent="0.2">
      <c r="B44" s="9" t="s">
        <v>40</v>
      </c>
      <c r="K44" s="2">
        <f>+K14/G14-1</f>
        <v>0.10735671514114631</v>
      </c>
      <c r="L44" s="2">
        <f>+L14/H14-1</f>
        <v>0.10466926070038918</v>
      </c>
      <c r="M44" s="2">
        <f>+M14/I14-1</f>
        <v>-5.3263315828957269E-2</v>
      </c>
      <c r="N44" s="2" t="e">
        <f>+N14/J14-1</f>
        <v>#DIV/0!</v>
      </c>
      <c r="O44" s="2">
        <f>+O14/K14-1</f>
        <v>-4.7508690614136762E-2</v>
      </c>
      <c r="P44" s="2">
        <f>+P14/L14-1</f>
        <v>-5.4244452271926757E-2</v>
      </c>
      <c r="Q44" s="2">
        <f>+Q14/M14-1</f>
        <v>-5.4675118858954042E-2</v>
      </c>
      <c r="R44" s="2">
        <f>+R14/N14-1</f>
        <v>3.0498136225008521E-2</v>
      </c>
      <c r="S44" s="2">
        <f>+S14/O14-1</f>
        <v>6.4882400648824667E-3</v>
      </c>
    </row>
    <row r="45" spans="2:38" s="2" customFormat="1" x14ac:dyDescent="0.2">
      <c r="B45" s="9" t="s">
        <v>41</v>
      </c>
      <c r="K45" s="2">
        <f>+K13/G13-1</f>
        <v>0.30296052631578951</v>
      </c>
      <c r="L45" s="2">
        <f>+L13/H13-1</f>
        <v>0.22361459203564471</v>
      </c>
      <c r="M45" s="2">
        <f>+M13/I13-1</f>
        <v>0.17633477633477623</v>
      </c>
      <c r="N45" s="2" t="e">
        <f>+N13/J13-1</f>
        <v>#DIV/0!</v>
      </c>
      <c r="O45" s="2">
        <f>+O13/K13-1</f>
        <v>5.4026760918959749E-2</v>
      </c>
      <c r="P45" s="2">
        <f>+P13/L13-1</f>
        <v>1.4337733272644426E-2</v>
      </c>
      <c r="Q45" s="2">
        <f>+Q13/M13-1</f>
        <v>-3.6555446516192358E-2</v>
      </c>
      <c r="R45" s="2">
        <f>+R13/N13-1</f>
        <v>4.565456545654567E-2</v>
      </c>
      <c r="S45" s="2">
        <f>+S13/O13-1</f>
        <v>3.3532934131736969E-3</v>
      </c>
    </row>
    <row r="46" spans="2:38" s="2" customFormat="1" x14ac:dyDescent="0.2">
      <c r="B46" s="9"/>
    </row>
    <row r="47" spans="2:38" x14ac:dyDescent="0.2">
      <c r="B47" s="8" t="s">
        <v>70</v>
      </c>
      <c r="R47" s="1">
        <f>+R59-R61</f>
        <v>-13311</v>
      </c>
      <c r="AL47" s="1">
        <f>+AL59-AL61</f>
        <v>-13311</v>
      </c>
    </row>
    <row r="48" spans="2:38" x14ac:dyDescent="0.2">
      <c r="B48" s="8" t="s">
        <v>71</v>
      </c>
      <c r="R48" s="1">
        <f>26280+20307</f>
        <v>46587</v>
      </c>
      <c r="AL48" s="1">
        <f>26280+20307</f>
        <v>46587</v>
      </c>
    </row>
    <row r="49" spans="2:38" x14ac:dyDescent="0.2">
      <c r="B49" s="8" t="s">
        <v>72</v>
      </c>
      <c r="R49" s="1">
        <v>29886</v>
      </c>
      <c r="AL49" s="1">
        <v>29886</v>
      </c>
    </row>
    <row r="50" spans="2:38" x14ac:dyDescent="0.2">
      <c r="B50" s="8" t="s">
        <v>73</v>
      </c>
      <c r="R50" s="1">
        <v>16620</v>
      </c>
      <c r="AL50" s="1">
        <v>16620</v>
      </c>
    </row>
    <row r="51" spans="2:38" x14ac:dyDescent="0.2">
      <c r="B51" s="8" t="s">
        <v>74</v>
      </c>
      <c r="R51" s="1">
        <v>1343</v>
      </c>
      <c r="AL51" s="1">
        <v>1343</v>
      </c>
    </row>
    <row r="52" spans="2:38" x14ac:dyDescent="0.2">
      <c r="B52" s="8" t="s">
        <v>75</v>
      </c>
      <c r="R52" s="1">
        <v>1632</v>
      </c>
      <c r="AL52" s="1">
        <v>1632</v>
      </c>
    </row>
    <row r="53" spans="2:38" x14ac:dyDescent="0.2">
      <c r="B53" s="8" t="s">
        <v>76</v>
      </c>
      <c r="R53" s="1">
        <v>1106</v>
      </c>
      <c r="AL53" s="1">
        <v>1106</v>
      </c>
    </row>
    <row r="54" spans="2:38" x14ac:dyDescent="0.2">
      <c r="B54" s="8" t="s">
        <v>83</v>
      </c>
      <c r="R54" s="1">
        <v>4545</v>
      </c>
      <c r="AL54" s="1">
        <v>4545</v>
      </c>
    </row>
    <row r="55" spans="2:38" x14ac:dyDescent="0.2">
      <c r="B55" s="8" t="s">
        <v>77</v>
      </c>
      <c r="R55" s="1">
        <v>23669</v>
      </c>
      <c r="AL55" s="1">
        <v>23669</v>
      </c>
    </row>
    <row r="56" spans="2:38" x14ac:dyDescent="0.2">
      <c r="B56" s="8" t="s">
        <v>78</v>
      </c>
      <c r="R56" s="1">
        <v>4730</v>
      </c>
      <c r="AL56" s="1">
        <v>4730</v>
      </c>
    </row>
    <row r="57" spans="2:38" x14ac:dyDescent="0.2">
      <c r="B57" s="8" t="s">
        <v>10</v>
      </c>
      <c r="R57" s="1">
        <v>986</v>
      </c>
      <c r="AL57" s="1">
        <v>986</v>
      </c>
    </row>
    <row r="58" spans="2:38" x14ac:dyDescent="0.2">
      <c r="B58" s="8" t="s">
        <v>79</v>
      </c>
      <c r="R58" s="1">
        <v>8455</v>
      </c>
      <c r="AL58" s="1">
        <v>8455</v>
      </c>
    </row>
    <row r="59" spans="2:38" x14ac:dyDescent="0.2">
      <c r="B59" s="8" t="s">
        <v>1</v>
      </c>
      <c r="R59" s="1">
        <v>9631</v>
      </c>
      <c r="AL59" s="1">
        <v>9631</v>
      </c>
    </row>
    <row r="60" spans="2:38" s="3" customFormat="1" x14ac:dyDescent="0.2">
      <c r="B60" s="17" t="s">
        <v>80</v>
      </c>
      <c r="R60" s="3">
        <f>+SUM(R48:R59)</f>
        <v>149190</v>
      </c>
      <c r="AL60" s="3">
        <f>+SUM(AL48:AL59)</f>
        <v>149190</v>
      </c>
    </row>
    <row r="61" spans="2:38" x14ac:dyDescent="0.2">
      <c r="B61" s="8" t="s">
        <v>2</v>
      </c>
      <c r="R61" s="1">
        <f>12091+10851</f>
        <v>22942</v>
      </c>
      <c r="AL61" s="1">
        <f>12091+10851</f>
        <v>22942</v>
      </c>
    </row>
    <row r="62" spans="2:38" x14ac:dyDescent="0.2">
      <c r="B62" s="8" t="s">
        <v>81</v>
      </c>
      <c r="R62" s="1">
        <f>14860+2972</f>
        <v>17832</v>
      </c>
      <c r="AL62" s="1">
        <f>14860+2972</f>
        <v>17832</v>
      </c>
    </row>
    <row r="63" spans="2:38" x14ac:dyDescent="0.2">
      <c r="B63" s="8" t="s">
        <v>82</v>
      </c>
      <c r="R63" s="1">
        <f>3856+10012</f>
        <v>13868</v>
      </c>
      <c r="AL63" s="1">
        <f>3856+10012</f>
        <v>13868</v>
      </c>
    </row>
    <row r="64" spans="2:38" x14ac:dyDescent="0.2">
      <c r="B64" s="8" t="s">
        <v>83</v>
      </c>
      <c r="R64" s="1">
        <v>7344</v>
      </c>
      <c r="AL64" s="1">
        <v>7344</v>
      </c>
    </row>
    <row r="65" spans="2:38" x14ac:dyDescent="0.2">
      <c r="B65" s="8" t="s">
        <v>88</v>
      </c>
      <c r="R65" s="1">
        <v>8056</v>
      </c>
      <c r="AL65" s="1">
        <v>8056</v>
      </c>
    </row>
    <row r="66" spans="2:38" x14ac:dyDescent="0.2">
      <c r="B66" s="8" t="s">
        <v>84</v>
      </c>
      <c r="R66" s="1">
        <v>8630</v>
      </c>
      <c r="AL66" s="1">
        <v>8630</v>
      </c>
    </row>
    <row r="67" spans="2:38" x14ac:dyDescent="0.2">
      <c r="B67" s="8" t="s">
        <v>10</v>
      </c>
      <c r="R67" s="1">
        <v>1231</v>
      </c>
      <c r="AL67" s="1">
        <v>1231</v>
      </c>
    </row>
    <row r="68" spans="2:38" s="3" customFormat="1" x14ac:dyDescent="0.2">
      <c r="B68" s="17" t="s">
        <v>85</v>
      </c>
      <c r="R68" s="3">
        <f>+SUM(R61:R67)</f>
        <v>79903</v>
      </c>
      <c r="AL68" s="3">
        <f>+SUM(AL61:AL67)</f>
        <v>79903</v>
      </c>
    </row>
    <row r="69" spans="2:38" x14ac:dyDescent="0.2">
      <c r="B69" s="8" t="s">
        <v>86</v>
      </c>
      <c r="R69" s="1">
        <f>67517</f>
        <v>67517</v>
      </c>
      <c r="AL69" s="1">
        <f>67517</f>
        <v>67517</v>
      </c>
    </row>
    <row r="70" spans="2:38" x14ac:dyDescent="0.2">
      <c r="B70" s="8" t="s">
        <v>88</v>
      </c>
      <c r="R70" s="1">
        <v>1770</v>
      </c>
      <c r="AL70" s="1">
        <v>1770</v>
      </c>
    </row>
    <row r="71" spans="2:38" x14ac:dyDescent="0.2">
      <c r="B71" s="8" t="s">
        <v>87</v>
      </c>
      <c r="R71" s="1">
        <f>+R70+R69+R68</f>
        <v>149190</v>
      </c>
      <c r="AL71" s="1">
        <f>+AL70+AL69+AL68</f>
        <v>149190</v>
      </c>
    </row>
    <row r="72" spans="2:38" s="2" customFormat="1" x14ac:dyDescent="0.2">
      <c r="B72" s="9"/>
    </row>
    <row r="73" spans="2:38" x14ac:dyDescent="0.2">
      <c r="B73" s="8" t="s">
        <v>89</v>
      </c>
      <c r="AL73" s="1">
        <f>+AL30</f>
        <v>13433</v>
      </c>
    </row>
    <row r="74" spans="2:38" x14ac:dyDescent="0.2">
      <c r="B74" s="8" t="s">
        <v>90</v>
      </c>
      <c r="AL74" s="1">
        <v>18907</v>
      </c>
    </row>
    <row r="75" spans="2:38" x14ac:dyDescent="0.2">
      <c r="B75" s="8" t="s">
        <v>91</v>
      </c>
      <c r="AL75" s="1">
        <v>29</v>
      </c>
    </row>
    <row r="76" spans="2:38" x14ac:dyDescent="0.2">
      <c r="B76" s="8" t="s">
        <v>92</v>
      </c>
      <c r="AL76" s="1">
        <v>4568</v>
      </c>
    </row>
    <row r="77" spans="2:38" x14ac:dyDescent="0.2">
      <c r="B77" s="8" t="s">
        <v>73</v>
      </c>
      <c r="AL77" s="1">
        <v>3228</v>
      </c>
    </row>
    <row r="78" spans="2:38" x14ac:dyDescent="0.2">
      <c r="B78" s="8" t="s">
        <v>93</v>
      </c>
      <c r="AL78" s="1">
        <v>488</v>
      </c>
    </row>
    <row r="79" spans="2:38" x14ac:dyDescent="0.2">
      <c r="B79" s="8" t="s">
        <v>94</v>
      </c>
      <c r="AL79" s="1">
        <v>-357</v>
      </c>
    </row>
    <row r="80" spans="2:38" x14ac:dyDescent="0.2">
      <c r="B80" s="8" t="s">
        <v>95</v>
      </c>
      <c r="AL80" s="1">
        <v>-483</v>
      </c>
    </row>
    <row r="81" spans="2:38" x14ac:dyDescent="0.2">
      <c r="B81" s="8" t="s">
        <v>96</v>
      </c>
      <c r="AL81" s="1">
        <v>-5531</v>
      </c>
    </row>
    <row r="82" spans="2:38" x14ac:dyDescent="0.2">
      <c r="B82" s="8" t="s">
        <v>97</v>
      </c>
      <c r="AL82" s="1">
        <v>-1925</v>
      </c>
    </row>
    <row r="83" spans="2:38" s="3" customFormat="1" x14ac:dyDescent="0.2">
      <c r="B83" s="17" t="s">
        <v>98</v>
      </c>
      <c r="AL83" s="3">
        <f>+SUM(AL74:AL82)</f>
        <v>18924</v>
      </c>
    </row>
    <row r="84" spans="2:38" s="2" customFormat="1" x14ac:dyDescent="0.2">
      <c r="B84" s="9"/>
    </row>
    <row r="85" spans="2:38" x14ac:dyDescent="0.2">
      <c r="B85" s="8" t="s">
        <v>99</v>
      </c>
      <c r="AL85" s="1">
        <v>-5531</v>
      </c>
    </row>
    <row r="86" spans="2:38" x14ac:dyDescent="0.2">
      <c r="B86" s="8" t="s">
        <v>102</v>
      </c>
      <c r="AL86" s="1">
        <v>-438</v>
      </c>
    </row>
    <row r="87" spans="2:38" x14ac:dyDescent="0.2">
      <c r="B87" s="8" t="s">
        <v>100</v>
      </c>
      <c r="AL87" s="1">
        <v>9</v>
      </c>
    </row>
    <row r="88" spans="2:38" x14ac:dyDescent="0.2">
      <c r="B88" s="8" t="s">
        <v>101</v>
      </c>
      <c r="AL88" s="1">
        <v>0</v>
      </c>
    </row>
    <row r="89" spans="2:38" x14ac:dyDescent="0.2">
      <c r="B89" s="8" t="s">
        <v>103</v>
      </c>
      <c r="AL89" s="1">
        <v>-579</v>
      </c>
    </row>
    <row r="90" spans="2:38" x14ac:dyDescent="0.2">
      <c r="B90" s="8" t="s">
        <v>104</v>
      </c>
      <c r="AL90" s="1">
        <f>+SUM(AL85:AL89)</f>
        <v>-6539</v>
      </c>
    </row>
    <row r="91" spans="2:38" s="2" customFormat="1" x14ac:dyDescent="0.2">
      <c r="B91" s="9"/>
    </row>
    <row r="92" spans="2:38" x14ac:dyDescent="0.2">
      <c r="B92" s="8" t="s">
        <v>105</v>
      </c>
      <c r="AL92" s="1">
        <v>-7322</v>
      </c>
    </row>
    <row r="93" spans="2:38" x14ac:dyDescent="0.2">
      <c r="B93" s="8" t="s">
        <v>88</v>
      </c>
      <c r="AL93" s="1">
        <v>-173</v>
      </c>
    </row>
    <row r="94" spans="2:38" x14ac:dyDescent="0.2">
      <c r="B94" s="8" t="s">
        <v>106</v>
      </c>
      <c r="AL94" s="1">
        <v>-224</v>
      </c>
    </row>
    <row r="95" spans="2:38" x14ac:dyDescent="0.2">
      <c r="B95" s="8" t="s">
        <v>2</v>
      </c>
      <c r="AL95" s="1">
        <f>3595-3676</f>
        <v>-81</v>
      </c>
    </row>
    <row r="96" spans="2:38" x14ac:dyDescent="0.2">
      <c r="B96" s="8" t="s">
        <v>81</v>
      </c>
      <c r="AL96" s="1">
        <v>-2915</v>
      </c>
    </row>
    <row r="97" spans="2:38" x14ac:dyDescent="0.2">
      <c r="B97" s="8" t="s">
        <v>103</v>
      </c>
      <c r="AL97" s="1">
        <v>-1</v>
      </c>
    </row>
    <row r="98" spans="2:38" x14ac:dyDescent="0.2">
      <c r="B98" s="8" t="s">
        <v>107</v>
      </c>
      <c r="AL98" s="1">
        <f>+SUM(AL92:AL97)</f>
        <v>-10716</v>
      </c>
    </row>
    <row r="99" spans="2:38" x14ac:dyDescent="0.2">
      <c r="B99" s="8" t="s">
        <v>108</v>
      </c>
      <c r="AL99" s="1">
        <v>80</v>
      </c>
    </row>
    <row r="100" spans="2:38" x14ac:dyDescent="0.2">
      <c r="B100" s="8" t="s">
        <v>109</v>
      </c>
      <c r="AL100" s="1">
        <f>+AL83+AL90+AL98+AL99</f>
        <v>1749</v>
      </c>
    </row>
    <row r="101" spans="2:38" x14ac:dyDescent="0.2">
      <c r="B101" s="8"/>
    </row>
    <row r="102" spans="2:38" s="3" customFormat="1" x14ac:dyDescent="0.2">
      <c r="B102" s="17" t="s">
        <v>110</v>
      </c>
      <c r="AL102" s="3">
        <f>+AL83+AL85</f>
        <v>13393</v>
      </c>
    </row>
    <row r="104" spans="2:38" x14ac:dyDescent="0.2">
      <c r="B104" s="10"/>
    </row>
    <row r="105" spans="2:38" s="3" customFormat="1" x14ac:dyDescent="0.2">
      <c r="B105" s="3" t="s">
        <v>111</v>
      </c>
      <c r="AJ105" s="3">
        <v>173492</v>
      </c>
      <c r="AK105" s="3">
        <v>192287</v>
      </c>
      <c r="AL105" s="3">
        <v>200518</v>
      </c>
    </row>
    <row r="106" spans="2:38" s="2" customFormat="1" x14ac:dyDescent="0.2">
      <c r="AK106" s="2">
        <f>+AK105/AJ105-1</f>
        <v>0.10833352546515118</v>
      </c>
      <c r="AL106" s="2">
        <f>+AL105/AK105-1</f>
        <v>4.2805805904715388E-2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67D0-1232-473B-AFE8-23CA490A76F1}">
  <dimension ref="A2:AT95"/>
  <sheetViews>
    <sheetView workbookViewId="0">
      <pane xSplit="2" ySplit="2" topLeftCell="X60" activePane="bottomRight" state="frozen"/>
      <selection pane="topRight" activeCell="C1" sqref="C1"/>
      <selection pane="bottomLeft" activeCell="A3" sqref="A3"/>
      <selection pane="bottomRight" activeCell="AC89" sqref="AC89"/>
    </sheetView>
  </sheetViews>
  <sheetFormatPr defaultRowHeight="12.75" x14ac:dyDescent="0.2"/>
  <cols>
    <col min="1" max="1" width="2.42578125" customWidth="1"/>
    <col min="2" max="2" width="31.5703125" bestFit="1" customWidth="1"/>
    <col min="30" max="30" width="9.140625" style="2"/>
  </cols>
  <sheetData>
    <row r="2" spans="2:46" s="5" customFormat="1" x14ac:dyDescent="0.2">
      <c r="C2" s="5" t="s">
        <v>18</v>
      </c>
      <c r="D2" s="5" t="s">
        <v>59</v>
      </c>
      <c r="E2" s="5" t="s">
        <v>19</v>
      </c>
      <c r="F2" s="5" t="s">
        <v>60</v>
      </c>
      <c r="G2" s="5" t="s">
        <v>20</v>
      </c>
      <c r="H2" s="5" t="s">
        <v>61</v>
      </c>
      <c r="I2" s="5" t="s">
        <v>21</v>
      </c>
      <c r="J2" s="5" t="s">
        <v>62</v>
      </c>
      <c r="K2" s="5" t="s">
        <v>22</v>
      </c>
      <c r="L2" s="5" t="s">
        <v>63</v>
      </c>
      <c r="M2" s="5" t="s">
        <v>23</v>
      </c>
      <c r="N2" s="5" t="s">
        <v>64</v>
      </c>
      <c r="O2" s="5" t="s">
        <v>24</v>
      </c>
      <c r="P2" s="5" t="s">
        <v>65</v>
      </c>
      <c r="Q2" s="5" t="s">
        <v>25</v>
      </c>
      <c r="R2" s="5" t="s">
        <v>66</v>
      </c>
      <c r="S2" s="5" t="s">
        <v>58</v>
      </c>
      <c r="T2" s="6">
        <v>2014</v>
      </c>
      <c r="U2" s="6">
        <f>+T2+1</f>
        <v>2015</v>
      </c>
      <c r="V2" s="6">
        <f t="shared" ref="V2:AT2" si="0">+U2+1</f>
        <v>2016</v>
      </c>
      <c r="W2" s="6">
        <f t="shared" si="0"/>
        <v>2017</v>
      </c>
      <c r="X2" s="6">
        <f t="shared" si="0"/>
        <v>2018</v>
      </c>
      <c r="Y2" s="6">
        <f t="shared" si="0"/>
        <v>2019</v>
      </c>
      <c r="Z2" s="6">
        <f t="shared" si="0"/>
        <v>2020</v>
      </c>
      <c r="AA2" s="6">
        <f t="shared" si="0"/>
        <v>2021</v>
      </c>
      <c r="AB2" s="6">
        <f t="shared" si="0"/>
        <v>2022</v>
      </c>
      <c r="AC2" s="6">
        <f>+AB2+1</f>
        <v>2023</v>
      </c>
      <c r="AD2" s="15" t="s">
        <v>67</v>
      </c>
      <c r="AE2" s="6">
        <f>+AC2+1</f>
        <v>2024</v>
      </c>
      <c r="AF2" s="6">
        <f t="shared" si="0"/>
        <v>2025</v>
      </c>
      <c r="AG2" s="6">
        <f t="shared" si="0"/>
        <v>2026</v>
      </c>
      <c r="AH2" s="6">
        <f t="shared" si="0"/>
        <v>2027</v>
      </c>
      <c r="AI2" s="6">
        <f t="shared" si="0"/>
        <v>2028</v>
      </c>
      <c r="AJ2" s="6">
        <f t="shared" si="0"/>
        <v>2029</v>
      </c>
      <c r="AK2" s="6">
        <f t="shared" si="0"/>
        <v>2030</v>
      </c>
      <c r="AL2" s="6">
        <f t="shared" si="0"/>
        <v>2031</v>
      </c>
      <c r="AM2" s="6">
        <f t="shared" si="0"/>
        <v>2032</v>
      </c>
      <c r="AN2" s="6">
        <f t="shared" si="0"/>
        <v>2033</v>
      </c>
      <c r="AO2" s="6">
        <f t="shared" si="0"/>
        <v>2034</v>
      </c>
      <c r="AP2" s="6">
        <f t="shared" si="0"/>
        <v>2035</v>
      </c>
      <c r="AQ2" s="6">
        <f t="shared" si="0"/>
        <v>2036</v>
      </c>
      <c r="AR2" s="6">
        <f t="shared" si="0"/>
        <v>2037</v>
      </c>
      <c r="AS2" s="6">
        <f t="shared" si="0"/>
        <v>2038</v>
      </c>
      <c r="AT2" s="6">
        <f t="shared" si="0"/>
        <v>2039</v>
      </c>
    </row>
    <row r="3" spans="2:46" x14ac:dyDescent="0.2">
      <c r="B3" s="11" t="s">
        <v>26</v>
      </c>
    </row>
    <row r="4" spans="2:46" s="1" customFormat="1" x14ac:dyDescent="0.2">
      <c r="B4" s="8" t="s">
        <v>33</v>
      </c>
      <c r="AC4" s="1">
        <f>+AC$10*AC13</f>
        <v>2112.64</v>
      </c>
      <c r="AD4" s="2">
        <f>+AE4/AC4-1</f>
        <v>-5.6592699182065886E-2</v>
      </c>
      <c r="AE4" s="1">
        <f>+AE$10*AE13</f>
        <v>1993.0800000000002</v>
      </c>
    </row>
    <row r="5" spans="2:46" s="1" customFormat="1" x14ac:dyDescent="0.2">
      <c r="B5" s="8" t="s">
        <v>34</v>
      </c>
      <c r="AC5" s="1">
        <f t="shared" ref="AC5:AE9" si="1">+AC$10*AC14</f>
        <v>396.12</v>
      </c>
      <c r="AD5" s="2">
        <f t="shared" ref="AD5:AD10" si="2">+AE5/AC5-1</f>
        <v>-0.11208724628900346</v>
      </c>
      <c r="AE5" s="1">
        <f t="shared" si="1"/>
        <v>351.71999999999997</v>
      </c>
    </row>
    <row r="6" spans="2:46" s="1" customFormat="1" x14ac:dyDescent="0.2">
      <c r="B6" s="8" t="s">
        <v>35</v>
      </c>
      <c r="AC6" s="1">
        <f t="shared" si="1"/>
        <v>1386.4199999999998</v>
      </c>
      <c r="AD6" s="2">
        <f t="shared" si="2"/>
        <v>-0.23893192539057428</v>
      </c>
      <c r="AE6" s="1">
        <f>+AE$10*AE15</f>
        <v>1055.1599999999999</v>
      </c>
    </row>
    <row r="7" spans="2:46" s="1" customFormat="1" x14ac:dyDescent="0.2">
      <c r="B7" s="8" t="s">
        <v>36</v>
      </c>
      <c r="AC7" s="1">
        <f t="shared" si="1"/>
        <v>1320.4</v>
      </c>
      <c r="AD7" s="2">
        <f t="shared" si="2"/>
        <v>-0.11208724628900335</v>
      </c>
      <c r="AE7" s="1">
        <f t="shared" si="1"/>
        <v>1172.4000000000001</v>
      </c>
    </row>
    <row r="8" spans="2:46" s="1" customFormat="1" x14ac:dyDescent="0.2">
      <c r="B8" s="8" t="s">
        <v>48</v>
      </c>
      <c r="AC8" s="1">
        <f t="shared" si="1"/>
        <v>462.14000000000004</v>
      </c>
      <c r="AD8" s="2">
        <f t="shared" si="2"/>
        <v>-0.11208724628900335</v>
      </c>
      <c r="AE8" s="1">
        <f t="shared" si="1"/>
        <v>410.34000000000003</v>
      </c>
    </row>
    <row r="9" spans="2:46" s="1" customFormat="1" x14ac:dyDescent="0.2">
      <c r="B9" s="8" t="s">
        <v>49</v>
      </c>
      <c r="AC9" s="1">
        <f t="shared" si="1"/>
        <v>924.28000000000009</v>
      </c>
      <c r="AD9" s="2">
        <f t="shared" si="2"/>
        <v>-4.8664906738217995E-2</v>
      </c>
      <c r="AE9" s="1">
        <f t="shared" si="1"/>
        <v>879.3</v>
      </c>
    </row>
    <row r="10" spans="2:46" s="5" customFormat="1" x14ac:dyDescent="0.2">
      <c r="B10" s="8" t="s">
        <v>43</v>
      </c>
      <c r="G10" s="5">
        <v>1638</v>
      </c>
      <c r="H10" s="5">
        <v>1689</v>
      </c>
      <c r="I10" s="5">
        <v>1899</v>
      </c>
      <c r="K10" s="5">
        <v>1694</v>
      </c>
      <c r="L10" s="5">
        <v>1486</v>
      </c>
      <c r="M10" s="5">
        <v>1509</v>
      </c>
      <c r="N10" s="5">
        <f>+AC10-SUM(K10:M10)</f>
        <v>1913</v>
      </c>
      <c r="O10" s="5">
        <v>1417</v>
      </c>
      <c r="AA10" s="5">
        <v>5974</v>
      </c>
      <c r="AB10" s="5">
        <v>7099</v>
      </c>
      <c r="AC10" s="5">
        <v>6602</v>
      </c>
      <c r="AD10" s="2">
        <f t="shared" si="2"/>
        <v>-0.11208724628900335</v>
      </c>
      <c r="AE10" s="5">
        <v>5862</v>
      </c>
    </row>
    <row r="11" spans="2:46" x14ac:dyDescent="0.2">
      <c r="AC11" s="1"/>
    </row>
    <row r="12" spans="2:46" x14ac:dyDescent="0.2">
      <c r="B12" s="11" t="s">
        <v>50</v>
      </c>
    </row>
    <row r="13" spans="2:46" s="2" customFormat="1" x14ac:dyDescent="0.2">
      <c r="B13" s="9" t="s">
        <v>33</v>
      </c>
      <c r="AC13" s="2">
        <v>0.32</v>
      </c>
      <c r="AE13" s="2">
        <v>0.34</v>
      </c>
    </row>
    <row r="14" spans="2:46" s="2" customFormat="1" x14ac:dyDescent="0.2">
      <c r="B14" s="9" t="s">
        <v>34</v>
      </c>
      <c r="AC14" s="2">
        <v>0.06</v>
      </c>
      <c r="AE14" s="2">
        <v>0.06</v>
      </c>
    </row>
    <row r="15" spans="2:46" s="2" customFormat="1" x14ac:dyDescent="0.2">
      <c r="B15" s="9" t="s">
        <v>35</v>
      </c>
      <c r="AC15" s="2">
        <v>0.21</v>
      </c>
      <c r="AE15" s="2">
        <v>0.18</v>
      </c>
    </row>
    <row r="16" spans="2:46" s="2" customFormat="1" x14ac:dyDescent="0.2">
      <c r="B16" s="9" t="s">
        <v>36</v>
      </c>
      <c r="AC16" s="2">
        <v>0.2</v>
      </c>
      <c r="AE16" s="2">
        <v>0.2</v>
      </c>
    </row>
    <row r="17" spans="2:31" s="2" customFormat="1" x14ac:dyDescent="0.2">
      <c r="B17" s="9" t="s">
        <v>48</v>
      </c>
      <c r="AC17" s="2">
        <v>7.0000000000000007E-2</v>
      </c>
      <c r="AE17" s="2">
        <v>7.0000000000000007E-2</v>
      </c>
    </row>
    <row r="18" spans="2:31" s="2" customFormat="1" x14ac:dyDescent="0.2">
      <c r="B18" s="9" t="s">
        <v>49</v>
      </c>
      <c r="AC18" s="2">
        <v>0.14000000000000001</v>
      </c>
      <c r="AE18" s="2">
        <v>0.15</v>
      </c>
    </row>
    <row r="19" spans="2:31" s="2" customFormat="1" x14ac:dyDescent="0.2">
      <c r="B19" s="9"/>
    </row>
    <row r="20" spans="2:31" x14ac:dyDescent="0.2">
      <c r="B20" s="11" t="s">
        <v>27</v>
      </c>
    </row>
    <row r="21" spans="2:31" s="1" customFormat="1" x14ac:dyDescent="0.2">
      <c r="B21" s="8" t="s">
        <v>33</v>
      </c>
      <c r="AC21" s="1">
        <f>+AC$27*AC30</f>
        <v>7168.7300000000005</v>
      </c>
      <c r="AD21" s="2">
        <f t="shared" ref="AD21:AD27" si="3">+AE21/AC21-1</f>
        <v>-2.6298939979605862E-2</v>
      </c>
      <c r="AE21" s="1">
        <f>+AE$27*AE30</f>
        <v>6980.2000000000007</v>
      </c>
    </row>
    <row r="22" spans="2:31" s="1" customFormat="1" x14ac:dyDescent="0.2">
      <c r="B22" s="8" t="s">
        <v>34</v>
      </c>
      <c r="AC22" s="1">
        <f t="shared" ref="AC22:AE26" si="4">+AC$27*AC31</f>
        <v>4216.9000000000005</v>
      </c>
      <c r="AD22" s="2">
        <f t="shared" si="3"/>
        <v>0.16844127202447279</v>
      </c>
      <c r="AE22" s="1">
        <f>+AE$27*AE31</f>
        <v>4927.2</v>
      </c>
    </row>
    <row r="23" spans="2:31" s="1" customFormat="1" x14ac:dyDescent="0.2">
      <c r="B23" s="8" t="s">
        <v>35</v>
      </c>
      <c r="AC23" s="1">
        <f t="shared" si="4"/>
        <v>16445.91</v>
      </c>
      <c r="AD23" s="2">
        <f t="shared" si="3"/>
        <v>-0.10119902151963622</v>
      </c>
      <c r="AE23" s="1">
        <f t="shared" si="4"/>
        <v>14781.599999999999</v>
      </c>
    </row>
    <row r="24" spans="2:31" s="1" customFormat="1" x14ac:dyDescent="0.2">
      <c r="B24" s="8" t="s">
        <v>36</v>
      </c>
      <c r="AC24" s="1">
        <f t="shared" si="4"/>
        <v>7590.42</v>
      </c>
      <c r="AD24" s="2">
        <f t="shared" si="3"/>
        <v>2.7795563354860331E-2</v>
      </c>
      <c r="AE24" s="1">
        <f t="shared" si="4"/>
        <v>7801.4</v>
      </c>
    </row>
    <row r="25" spans="2:31" s="1" customFormat="1" x14ac:dyDescent="0.2">
      <c r="B25" s="8" t="s">
        <v>48</v>
      </c>
      <c r="AC25" s="1">
        <f t="shared" si="4"/>
        <v>2951.8300000000004</v>
      </c>
      <c r="AD25" s="2">
        <f t="shared" si="3"/>
        <v>-2.6298939979605862E-2</v>
      </c>
      <c r="AE25" s="1">
        <f t="shared" si="4"/>
        <v>2874.2000000000003</v>
      </c>
    </row>
    <row r="26" spans="2:31" s="1" customFormat="1" x14ac:dyDescent="0.2">
      <c r="B26" s="8" t="s">
        <v>49</v>
      </c>
      <c r="AC26" s="1">
        <f t="shared" si="4"/>
        <v>3795.21</v>
      </c>
      <c r="AD26" s="2">
        <f t="shared" si="3"/>
        <v>-2.6298939979605973E-2</v>
      </c>
      <c r="AE26" s="1">
        <f t="shared" si="4"/>
        <v>3695.3999999999996</v>
      </c>
    </row>
    <row r="27" spans="2:31" s="5" customFormat="1" x14ac:dyDescent="0.2">
      <c r="B27" s="8" t="s">
        <v>44</v>
      </c>
      <c r="G27" s="5">
        <v>9123</v>
      </c>
      <c r="H27" s="5">
        <v>9013</v>
      </c>
      <c r="I27" s="5">
        <v>9687</v>
      </c>
      <c r="K27" s="5">
        <v>10728</v>
      </c>
      <c r="L27" s="5">
        <v>10434</v>
      </c>
      <c r="M27" s="5">
        <v>9750</v>
      </c>
      <c r="N27" s="5">
        <f>+AC27-SUM(K27:M27)</f>
        <v>11257</v>
      </c>
      <c r="O27" s="5">
        <v>10490</v>
      </c>
      <c r="AA27" s="5">
        <v>30896</v>
      </c>
      <c r="AB27" s="5">
        <v>38648</v>
      </c>
      <c r="AC27" s="5">
        <v>42169</v>
      </c>
      <c r="AD27" s="2">
        <f t="shared" si="3"/>
        <v>-2.6298939979605862E-2</v>
      </c>
      <c r="AE27" s="5">
        <v>41060</v>
      </c>
    </row>
    <row r="28" spans="2:31" x14ac:dyDescent="0.2">
      <c r="AC28" s="1"/>
    </row>
    <row r="29" spans="2:31" x14ac:dyDescent="0.2">
      <c r="B29" s="11" t="s">
        <v>27</v>
      </c>
    </row>
    <row r="30" spans="2:31" s="2" customFormat="1" x14ac:dyDescent="0.2">
      <c r="B30" s="9" t="s">
        <v>33</v>
      </c>
      <c r="AC30" s="2">
        <v>0.17</v>
      </c>
      <c r="AE30" s="2">
        <v>0.17</v>
      </c>
    </row>
    <row r="31" spans="2:31" s="2" customFormat="1" x14ac:dyDescent="0.2">
      <c r="B31" s="9" t="s">
        <v>34</v>
      </c>
      <c r="AC31" s="2">
        <v>0.1</v>
      </c>
      <c r="AE31" s="2">
        <v>0.12</v>
      </c>
    </row>
    <row r="32" spans="2:31" s="2" customFormat="1" x14ac:dyDescent="0.2">
      <c r="B32" s="9" t="s">
        <v>35</v>
      </c>
      <c r="AC32" s="2">
        <v>0.39</v>
      </c>
      <c r="AE32" s="2">
        <v>0.36</v>
      </c>
    </row>
    <row r="33" spans="2:31" s="2" customFormat="1" x14ac:dyDescent="0.2">
      <c r="B33" s="9" t="s">
        <v>36</v>
      </c>
      <c r="AC33" s="2">
        <v>0.18</v>
      </c>
      <c r="AE33" s="2">
        <v>0.19</v>
      </c>
    </row>
    <row r="34" spans="2:31" s="2" customFormat="1" x14ac:dyDescent="0.2">
      <c r="B34" s="9" t="s">
        <v>48</v>
      </c>
      <c r="AC34" s="2">
        <v>7.0000000000000007E-2</v>
      </c>
      <c r="AE34" s="2">
        <v>7.0000000000000007E-2</v>
      </c>
    </row>
    <row r="35" spans="2:31" s="2" customFormat="1" x14ac:dyDescent="0.2">
      <c r="B35" s="9" t="s">
        <v>49</v>
      </c>
      <c r="AC35" s="2">
        <v>0.09</v>
      </c>
      <c r="AE35" s="2">
        <v>0.09</v>
      </c>
    </row>
    <row r="37" spans="2:31" x14ac:dyDescent="0.2">
      <c r="B37" s="11" t="s">
        <v>28</v>
      </c>
    </row>
    <row r="38" spans="2:31" s="1" customFormat="1" x14ac:dyDescent="0.2">
      <c r="B38" s="8" t="s">
        <v>33</v>
      </c>
      <c r="AC38" s="1">
        <f>+AC$44*AC47</f>
        <v>1571.49</v>
      </c>
      <c r="AD38" s="2">
        <f t="shared" ref="AD38:AD44" si="5">+AE38/AC38-1</f>
        <v>1.7772941603191983E-2</v>
      </c>
      <c r="AE38" s="1">
        <f>+AE$44*AE47</f>
        <v>1599.42</v>
      </c>
    </row>
    <row r="39" spans="2:31" s="1" customFormat="1" x14ac:dyDescent="0.2">
      <c r="B39" s="8" t="s">
        <v>34</v>
      </c>
      <c r="AC39" s="1">
        <f t="shared" ref="AC39:AE43" si="6">+AC$44*AC48</f>
        <v>413.55</v>
      </c>
      <c r="AD39" s="2">
        <f t="shared" si="5"/>
        <v>0.2213275299238302</v>
      </c>
      <c r="AE39" s="1">
        <f t="shared" si="6"/>
        <v>505.08</v>
      </c>
    </row>
    <row r="40" spans="2:31" s="1" customFormat="1" x14ac:dyDescent="0.2">
      <c r="B40" s="8" t="s">
        <v>35</v>
      </c>
      <c r="AC40" s="1">
        <f t="shared" si="6"/>
        <v>2729.4300000000003</v>
      </c>
      <c r="AD40" s="2">
        <f t="shared" si="5"/>
        <v>-7.4751871269825632E-2</v>
      </c>
      <c r="AE40" s="1">
        <f t="shared" si="6"/>
        <v>2525.4</v>
      </c>
    </row>
    <row r="41" spans="2:31" s="1" customFormat="1" x14ac:dyDescent="0.2">
      <c r="B41" s="8" t="s">
        <v>36</v>
      </c>
      <c r="AC41" s="1">
        <f t="shared" si="6"/>
        <v>1736.9099999999999</v>
      </c>
      <c r="AD41" s="2">
        <f t="shared" si="5"/>
        <v>1.7772941603191983E-2</v>
      </c>
      <c r="AE41" s="1">
        <f t="shared" si="6"/>
        <v>1767.78</v>
      </c>
    </row>
    <row r="42" spans="2:31" s="1" customFormat="1" x14ac:dyDescent="0.2">
      <c r="B42" s="8" t="s">
        <v>48</v>
      </c>
      <c r="AC42" s="1">
        <f t="shared" si="6"/>
        <v>744.39</v>
      </c>
      <c r="AD42" s="2">
        <f t="shared" si="5"/>
        <v>0.13085882400354665</v>
      </c>
      <c r="AE42" s="1">
        <f t="shared" si="6"/>
        <v>841.80000000000007</v>
      </c>
    </row>
    <row r="43" spans="2:31" s="1" customFormat="1" x14ac:dyDescent="0.2">
      <c r="B43" s="8" t="s">
        <v>49</v>
      </c>
      <c r="AC43" s="1">
        <f t="shared" si="6"/>
        <v>1075.23</v>
      </c>
      <c r="AD43" s="2">
        <f t="shared" si="5"/>
        <v>9.6063167880360734E-2</v>
      </c>
      <c r="AE43" s="1">
        <f t="shared" si="6"/>
        <v>1178.5200000000002</v>
      </c>
    </row>
    <row r="44" spans="2:31" s="5" customFormat="1" x14ac:dyDescent="0.2">
      <c r="B44" s="8" t="s">
        <v>45</v>
      </c>
      <c r="G44" s="5">
        <v>1905</v>
      </c>
      <c r="H44" s="5">
        <v>1714</v>
      </c>
      <c r="I44" s="5">
        <v>1959</v>
      </c>
      <c r="K44" s="5">
        <v>2115</v>
      </c>
      <c r="L44" s="5">
        <v>1913</v>
      </c>
      <c r="M44" s="5">
        <v>1993</v>
      </c>
      <c r="N44" s="5">
        <f>+AC44-SUM(K44:M44)</f>
        <v>2250</v>
      </c>
      <c r="O44" s="5">
        <v>2182</v>
      </c>
      <c r="AA44" s="5">
        <v>6608</v>
      </c>
      <c r="AB44" s="5">
        <v>7722</v>
      </c>
      <c r="AC44" s="5">
        <v>8271</v>
      </c>
      <c r="AD44" s="2">
        <f t="shared" si="5"/>
        <v>1.7772941603191983E-2</v>
      </c>
      <c r="AE44" s="5">
        <v>8418</v>
      </c>
    </row>
    <row r="45" spans="2:31" x14ac:dyDescent="0.2">
      <c r="AC45" s="1"/>
    </row>
    <row r="46" spans="2:31" x14ac:dyDescent="0.2">
      <c r="B46" s="11" t="s">
        <v>28</v>
      </c>
    </row>
    <row r="47" spans="2:31" s="2" customFormat="1" x14ac:dyDescent="0.2">
      <c r="B47" s="9" t="s">
        <v>33</v>
      </c>
      <c r="AC47" s="2">
        <v>0.19</v>
      </c>
      <c r="AE47" s="2">
        <v>0.19</v>
      </c>
    </row>
    <row r="48" spans="2:31" s="2" customFormat="1" x14ac:dyDescent="0.2">
      <c r="B48" s="9" t="s">
        <v>34</v>
      </c>
      <c r="AC48" s="2">
        <v>0.05</v>
      </c>
      <c r="AE48" s="2">
        <v>0.06</v>
      </c>
    </row>
    <row r="49" spans="2:31" s="2" customFormat="1" x14ac:dyDescent="0.2">
      <c r="B49" s="9" t="s">
        <v>35</v>
      </c>
      <c r="AC49" s="2">
        <v>0.33</v>
      </c>
      <c r="AE49" s="2">
        <v>0.3</v>
      </c>
    </row>
    <row r="50" spans="2:31" s="2" customFormat="1" x14ac:dyDescent="0.2">
      <c r="B50" s="9" t="s">
        <v>36</v>
      </c>
      <c r="AC50" s="2">
        <v>0.21</v>
      </c>
      <c r="AE50" s="2">
        <v>0.21</v>
      </c>
    </row>
    <row r="51" spans="2:31" s="2" customFormat="1" x14ac:dyDescent="0.2">
      <c r="B51" s="9" t="s">
        <v>48</v>
      </c>
      <c r="AC51" s="2">
        <v>0.09</v>
      </c>
      <c r="AE51" s="2">
        <v>0.1</v>
      </c>
    </row>
    <row r="52" spans="2:31" s="2" customFormat="1" x14ac:dyDescent="0.2">
      <c r="B52" s="9" t="s">
        <v>49</v>
      </c>
      <c r="AC52" s="2">
        <v>0.13</v>
      </c>
      <c r="AE52" s="2">
        <v>0.14000000000000001</v>
      </c>
    </row>
    <row r="54" spans="2:31" x14ac:dyDescent="0.2">
      <c r="B54" s="11" t="s">
        <v>29</v>
      </c>
    </row>
    <row r="55" spans="2:31" s="1" customFormat="1" x14ac:dyDescent="0.2">
      <c r="B55" s="8" t="s">
        <v>33</v>
      </c>
      <c r="AC55" s="1">
        <f>+AC$61*AC64</f>
        <v>2507.46</v>
      </c>
      <c r="AD55" s="2">
        <f t="shared" ref="AD55:AD61" si="7">+AE55/AC55-1</f>
        <v>1.2371084683304945E-2</v>
      </c>
      <c r="AE55" s="1">
        <f>+AE$61*AE64</f>
        <v>2538.48</v>
      </c>
    </row>
    <row r="56" spans="2:31" s="1" customFormat="1" x14ac:dyDescent="0.2">
      <c r="B56" s="8" t="s">
        <v>34</v>
      </c>
      <c r="AC56" s="1">
        <f t="shared" ref="AC56:AE60" si="8">+AC$61*AC65</f>
        <v>1199.22</v>
      </c>
      <c r="AD56" s="2">
        <f t="shared" si="7"/>
        <v>0.14658694818298557</v>
      </c>
      <c r="AE56" s="1">
        <f t="shared" si="8"/>
        <v>1375.01</v>
      </c>
    </row>
    <row r="57" spans="2:31" s="1" customFormat="1" x14ac:dyDescent="0.2">
      <c r="B57" s="8" t="s">
        <v>35</v>
      </c>
      <c r="AC57" s="1">
        <f t="shared" si="8"/>
        <v>3706.6800000000003</v>
      </c>
      <c r="AD57" s="2">
        <f t="shared" si="7"/>
        <v>-0.17248589033852402</v>
      </c>
      <c r="AE57" s="1">
        <f t="shared" si="8"/>
        <v>3067.33</v>
      </c>
    </row>
    <row r="58" spans="2:31" s="1" customFormat="1" x14ac:dyDescent="0.2">
      <c r="B58" s="8" t="s">
        <v>36</v>
      </c>
      <c r="AC58" s="1">
        <f t="shared" si="8"/>
        <v>1635.3</v>
      </c>
      <c r="AD58" s="2">
        <f t="shared" si="7"/>
        <v>-2.9811043845165974E-2</v>
      </c>
      <c r="AE58" s="1">
        <f t="shared" si="8"/>
        <v>1586.55</v>
      </c>
    </row>
    <row r="59" spans="2:31" s="1" customFormat="1" x14ac:dyDescent="0.2">
      <c r="B59" s="8" t="s">
        <v>48</v>
      </c>
      <c r="AC59" s="1">
        <f t="shared" si="8"/>
        <v>327.06</v>
      </c>
      <c r="AD59" s="2">
        <f t="shared" si="7"/>
        <v>0.61698159359139004</v>
      </c>
      <c r="AE59" s="1">
        <f t="shared" si="8"/>
        <v>528.85</v>
      </c>
    </row>
    <row r="60" spans="2:31" s="1" customFormat="1" x14ac:dyDescent="0.2">
      <c r="B60" s="8" t="s">
        <v>49</v>
      </c>
      <c r="AC60" s="1">
        <f t="shared" si="8"/>
        <v>1526.2800000000002</v>
      </c>
      <c r="AD60" s="2">
        <f t="shared" si="7"/>
        <v>-2.9811043845165974E-2</v>
      </c>
      <c r="AE60" s="1">
        <f t="shared" si="8"/>
        <v>1480.7800000000002</v>
      </c>
    </row>
    <row r="61" spans="2:31" s="5" customFormat="1" x14ac:dyDescent="0.2">
      <c r="B61" s="8" t="s">
        <v>46</v>
      </c>
      <c r="G61" s="5">
        <v>2338</v>
      </c>
      <c r="H61" s="5">
        <v>2570</v>
      </c>
      <c r="I61" s="5">
        <v>2666</v>
      </c>
      <c r="K61" s="5">
        <v>2589</v>
      </c>
      <c r="L61" s="5">
        <v>2839</v>
      </c>
      <c r="M61" s="5">
        <v>2524</v>
      </c>
      <c r="N61" s="5">
        <f>+AC61-SUM(K61:M61)</f>
        <v>2950</v>
      </c>
      <c r="O61" s="5">
        <v>2466</v>
      </c>
      <c r="AA61" s="5">
        <v>8964</v>
      </c>
      <c r="AB61" s="5">
        <v>10581</v>
      </c>
      <c r="AC61" s="5">
        <v>10902</v>
      </c>
      <c r="AD61" s="2">
        <f t="shared" si="7"/>
        <v>-2.9811043845165974E-2</v>
      </c>
      <c r="AE61" s="5">
        <v>10577</v>
      </c>
    </row>
    <row r="62" spans="2:31" x14ac:dyDescent="0.2">
      <c r="AC62" s="1"/>
    </row>
    <row r="63" spans="2:31" x14ac:dyDescent="0.2">
      <c r="B63" s="11" t="s">
        <v>29</v>
      </c>
    </row>
    <row r="64" spans="2:31" s="2" customFormat="1" x14ac:dyDescent="0.2">
      <c r="B64" s="9" t="s">
        <v>33</v>
      </c>
      <c r="AC64" s="2">
        <v>0.23</v>
      </c>
      <c r="AE64" s="2">
        <v>0.24</v>
      </c>
    </row>
    <row r="65" spans="1:31" s="2" customFormat="1" x14ac:dyDescent="0.2">
      <c r="A65" s="12"/>
      <c r="B65" s="9" t="s">
        <v>34</v>
      </c>
      <c r="AC65" s="2">
        <v>0.11</v>
      </c>
      <c r="AE65" s="2">
        <v>0.13</v>
      </c>
    </row>
    <row r="66" spans="1:31" s="2" customFormat="1" x14ac:dyDescent="0.2">
      <c r="A66" s="12"/>
      <c r="B66" s="9" t="s">
        <v>35</v>
      </c>
      <c r="AC66" s="2">
        <v>0.34</v>
      </c>
      <c r="AE66" s="2">
        <v>0.28999999999999998</v>
      </c>
    </row>
    <row r="67" spans="1:31" s="2" customFormat="1" x14ac:dyDescent="0.2">
      <c r="A67" s="12"/>
      <c r="B67" s="9" t="s">
        <v>36</v>
      </c>
      <c r="AC67" s="2">
        <v>0.15</v>
      </c>
      <c r="AE67" s="2">
        <v>0.15</v>
      </c>
    </row>
    <row r="68" spans="1:31" s="2" customFormat="1" x14ac:dyDescent="0.2">
      <c r="A68" s="12"/>
      <c r="B68" s="9" t="s">
        <v>48</v>
      </c>
      <c r="AC68" s="2">
        <v>0.03</v>
      </c>
      <c r="AE68" s="2">
        <v>0.05</v>
      </c>
    </row>
    <row r="69" spans="1:31" s="2" customFormat="1" ht="12.75" customHeight="1" x14ac:dyDescent="0.2">
      <c r="B69" s="9" t="s">
        <v>49</v>
      </c>
      <c r="AC69" s="2">
        <v>0.14000000000000001</v>
      </c>
      <c r="AE69" s="2">
        <v>0.14000000000000001</v>
      </c>
    </row>
    <row r="71" spans="1:31" x14ac:dyDescent="0.2">
      <c r="B71" s="11" t="s">
        <v>30</v>
      </c>
    </row>
    <row r="72" spans="1:31" s="1" customFormat="1" x14ac:dyDescent="0.2">
      <c r="B72" s="8" t="s">
        <v>33</v>
      </c>
      <c r="AC72" s="1">
        <f>+AC$78*AC81</f>
        <v>8227.1</v>
      </c>
      <c r="AD72" s="2">
        <f t="shared" ref="AD72:AD78" si="9">+AE72/AC72-1</f>
        <v>2.1079116578138102E-2</v>
      </c>
      <c r="AE72" s="1">
        <f>+AE$78*AE81</f>
        <v>8400.52</v>
      </c>
    </row>
    <row r="73" spans="1:31" s="1" customFormat="1" x14ac:dyDescent="0.2">
      <c r="B73" s="8" t="s">
        <v>34</v>
      </c>
      <c r="AC73" s="1">
        <f t="shared" ref="AC73:AE77" si="10">+AC$78*AC82</f>
        <v>178.85</v>
      </c>
      <c r="AD73" s="2">
        <f t="shared" si="9"/>
        <v>2.1079116578138102E-2</v>
      </c>
      <c r="AE73" s="1">
        <f t="shared" si="10"/>
        <v>182.62</v>
      </c>
    </row>
    <row r="74" spans="1:31" s="1" customFormat="1" x14ac:dyDescent="0.2">
      <c r="B74" s="8" t="s">
        <v>35</v>
      </c>
      <c r="AC74" s="1">
        <f t="shared" si="10"/>
        <v>2682.75</v>
      </c>
      <c r="AD74" s="2">
        <f t="shared" si="9"/>
        <v>-0.1831367067374895</v>
      </c>
      <c r="AE74" s="1">
        <f t="shared" si="10"/>
        <v>2191.44</v>
      </c>
    </row>
    <row r="75" spans="1:31" s="1" customFormat="1" x14ac:dyDescent="0.2">
      <c r="B75" s="8" t="s">
        <v>36</v>
      </c>
      <c r="AC75" s="1">
        <f t="shared" si="10"/>
        <v>1609.6499999999999</v>
      </c>
      <c r="AD75" s="2">
        <f t="shared" si="9"/>
        <v>0.36143882210418421</v>
      </c>
      <c r="AE75" s="1">
        <f t="shared" si="10"/>
        <v>2191.44</v>
      </c>
    </row>
    <row r="76" spans="1:31" s="1" customFormat="1" x14ac:dyDescent="0.2">
      <c r="B76" s="8" t="s">
        <v>48</v>
      </c>
      <c r="AC76" s="1">
        <f t="shared" si="10"/>
        <v>1967.35</v>
      </c>
      <c r="AD76" s="2">
        <f t="shared" si="9"/>
        <v>2.1079116578138102E-2</v>
      </c>
      <c r="AE76" s="1">
        <f t="shared" si="10"/>
        <v>2008.82</v>
      </c>
    </row>
    <row r="77" spans="1:31" s="1" customFormat="1" x14ac:dyDescent="0.2">
      <c r="B77" s="8" t="s">
        <v>49</v>
      </c>
      <c r="AC77" s="1">
        <f t="shared" si="10"/>
        <v>3219.2999999999997</v>
      </c>
      <c r="AD77" s="2">
        <f t="shared" si="9"/>
        <v>2.1079116578138102E-2</v>
      </c>
      <c r="AE77" s="1">
        <f t="shared" si="10"/>
        <v>3287.16</v>
      </c>
    </row>
    <row r="78" spans="1:31" s="5" customFormat="1" x14ac:dyDescent="0.2">
      <c r="B78" s="8" t="s">
        <v>47</v>
      </c>
      <c r="G78" s="5">
        <v>3040</v>
      </c>
      <c r="H78" s="5">
        <v>3591</v>
      </c>
      <c r="I78" s="5">
        <v>3465</v>
      </c>
      <c r="K78" s="5">
        <v>3961</v>
      </c>
      <c r="L78" s="5">
        <v>4394</v>
      </c>
      <c r="M78" s="5">
        <v>4076</v>
      </c>
      <c r="N78" s="5">
        <f>+AC78-SUM(K78:M78)</f>
        <v>5454</v>
      </c>
      <c r="O78" s="5">
        <v>4175</v>
      </c>
      <c r="AA78" s="5">
        <v>11754</v>
      </c>
      <c r="AB78" s="5">
        <v>14852</v>
      </c>
      <c r="AC78" s="5">
        <v>17885</v>
      </c>
      <c r="AD78" s="2">
        <f t="shared" si="9"/>
        <v>2.1079116578138102E-2</v>
      </c>
      <c r="AE78" s="5">
        <v>18262</v>
      </c>
    </row>
    <row r="79" spans="1:31" x14ac:dyDescent="0.2">
      <c r="AC79" s="1"/>
    </row>
    <row r="80" spans="1:31" x14ac:dyDescent="0.2">
      <c r="B80" s="11" t="s">
        <v>30</v>
      </c>
    </row>
    <row r="81" spans="2:31" s="2" customFormat="1" x14ac:dyDescent="0.2">
      <c r="B81" s="9" t="s">
        <v>33</v>
      </c>
      <c r="AC81" s="2">
        <v>0.46</v>
      </c>
      <c r="AE81" s="2">
        <v>0.46</v>
      </c>
    </row>
    <row r="82" spans="2:31" s="2" customFormat="1" x14ac:dyDescent="0.2">
      <c r="B82" s="9" t="s">
        <v>34</v>
      </c>
      <c r="AC82" s="2">
        <v>0.01</v>
      </c>
      <c r="AE82" s="2">
        <v>0.01</v>
      </c>
    </row>
    <row r="83" spans="2:31" s="2" customFormat="1" x14ac:dyDescent="0.2">
      <c r="B83" s="9" t="s">
        <v>35</v>
      </c>
      <c r="AC83" s="2">
        <v>0.15</v>
      </c>
      <c r="AE83" s="2">
        <v>0.12</v>
      </c>
    </row>
    <row r="84" spans="2:31" s="2" customFormat="1" x14ac:dyDescent="0.2">
      <c r="B84" s="9" t="s">
        <v>36</v>
      </c>
      <c r="AC84" s="2">
        <v>0.09</v>
      </c>
      <c r="AE84" s="2">
        <v>0.12</v>
      </c>
    </row>
    <row r="85" spans="2:31" s="2" customFormat="1" x14ac:dyDescent="0.2">
      <c r="B85" s="9" t="s">
        <v>48</v>
      </c>
      <c r="AC85" s="2">
        <v>0.11</v>
      </c>
      <c r="AE85" s="2">
        <v>0.11</v>
      </c>
    </row>
    <row r="86" spans="2:31" s="2" customFormat="1" x14ac:dyDescent="0.2">
      <c r="B86" s="9" t="s">
        <v>49</v>
      </c>
      <c r="AC86" s="2">
        <v>0.18</v>
      </c>
      <c r="AE86" s="2">
        <v>0.18</v>
      </c>
    </row>
    <row r="87" spans="2:31" s="2" customFormat="1" x14ac:dyDescent="0.2">
      <c r="B87" s="9"/>
    </row>
    <row r="88" spans="2:31" x14ac:dyDescent="0.2">
      <c r="B88" s="16" t="s">
        <v>68</v>
      </c>
    </row>
    <row r="89" spans="2:31" x14ac:dyDescent="0.2">
      <c r="B89" s="9" t="s">
        <v>33</v>
      </c>
      <c r="AC89" s="1">
        <f t="shared" ref="AC89:AC95" si="11">+AC4+AC21+AC38+AC55+AC72</f>
        <v>21587.42</v>
      </c>
      <c r="AD89" s="2">
        <f t="shared" ref="AD89:AD94" si="12">+AE89/AC89-1</f>
        <v>-3.5075984068497768E-3</v>
      </c>
      <c r="AE89" s="1">
        <f t="shared" ref="AE89:AE95" si="13">+AE4+AE21+AE38+AE55+AE72</f>
        <v>21511.7</v>
      </c>
    </row>
    <row r="90" spans="2:31" x14ac:dyDescent="0.2">
      <c r="B90" s="9" t="s">
        <v>34</v>
      </c>
      <c r="AC90" s="1">
        <f t="shared" si="11"/>
        <v>6404.6400000000012</v>
      </c>
      <c r="AD90" s="2">
        <f t="shared" si="12"/>
        <v>0.14629862099977498</v>
      </c>
      <c r="AE90" s="1">
        <f t="shared" si="13"/>
        <v>7341.63</v>
      </c>
    </row>
    <row r="91" spans="2:31" x14ac:dyDescent="0.2">
      <c r="B91" s="9" t="s">
        <v>35</v>
      </c>
      <c r="AC91" s="1">
        <f t="shared" si="11"/>
        <v>26951.19</v>
      </c>
      <c r="AD91" s="2">
        <f t="shared" si="12"/>
        <v>-0.1235663434527382</v>
      </c>
      <c r="AE91" s="1">
        <f t="shared" si="13"/>
        <v>23620.929999999997</v>
      </c>
    </row>
    <row r="92" spans="2:31" x14ac:dyDescent="0.2">
      <c r="B92" s="9" t="s">
        <v>36</v>
      </c>
      <c r="AC92" s="1">
        <f t="shared" si="11"/>
        <v>13892.679999999998</v>
      </c>
      <c r="AD92" s="2">
        <f t="shared" si="12"/>
        <v>4.5123763017646867E-2</v>
      </c>
      <c r="AE92" s="1">
        <f t="shared" si="13"/>
        <v>14519.57</v>
      </c>
    </row>
    <row r="93" spans="2:31" x14ac:dyDescent="0.2">
      <c r="B93" s="9" t="s">
        <v>48</v>
      </c>
      <c r="AC93" s="1">
        <f t="shared" si="11"/>
        <v>6452.77</v>
      </c>
      <c r="AD93" s="2">
        <f t="shared" si="12"/>
        <v>3.2736328739440435E-2</v>
      </c>
      <c r="AE93" s="1">
        <f t="shared" si="13"/>
        <v>6664.01</v>
      </c>
    </row>
    <row r="94" spans="2:31" x14ac:dyDescent="0.2">
      <c r="B94" s="9" t="s">
        <v>49</v>
      </c>
      <c r="AC94" s="1">
        <f t="shared" si="11"/>
        <v>10540.3</v>
      </c>
      <c r="AD94" s="2">
        <f t="shared" si="12"/>
        <v>-1.8158875933321772E-3</v>
      </c>
      <c r="AE94" s="1">
        <f t="shared" si="13"/>
        <v>10521.16</v>
      </c>
    </row>
    <row r="95" spans="2:31" s="13" customFormat="1" x14ac:dyDescent="0.2">
      <c r="B95" s="14" t="s">
        <v>51</v>
      </c>
      <c r="AC95" s="3">
        <f t="shared" si="11"/>
        <v>85829</v>
      </c>
      <c r="AD95" s="7"/>
      <c r="AE95" s="3">
        <f t="shared" si="13"/>
        <v>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Geographic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2024-07-23T18:18:10Z</dcterms:created>
  <dcterms:modified xsi:type="dcterms:W3CDTF">2025-04-15T16:26:40Z</dcterms:modified>
</cp:coreProperties>
</file>