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Tech\"/>
    </mc:Choice>
  </mc:AlternateContent>
  <xr:revisionPtr revIDLastSave="0" documentId="13_ncr:1_{8F0A164E-550F-4CE3-8E21-5D2DBB2AE0EE}" xr6:coauthVersionLast="47" xr6:coauthVersionMax="47" xr10:uidLastSave="{00000000-0000-0000-0000-000000000000}"/>
  <bookViews>
    <workbookView xWindow="-120" yWindow="-120" windowWidth="29040" windowHeight="15840" tabRatio="423" activeTab="1" xr2:uid="{BFF54E26-88CF-4192-80D5-B8D1AC5B7AA0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K80" i="1"/>
  <c r="J80" i="1"/>
  <c r="I80" i="1"/>
  <c r="H80" i="1"/>
  <c r="G80" i="1"/>
  <c r="L80" i="1"/>
  <c r="K79" i="1"/>
  <c r="J79" i="1"/>
  <c r="I79" i="1"/>
  <c r="H79" i="1"/>
  <c r="G79" i="1"/>
  <c r="F79" i="1"/>
  <c r="E79" i="1"/>
  <c r="D79" i="1"/>
  <c r="L79" i="1"/>
  <c r="L73" i="1"/>
  <c r="L66" i="1"/>
  <c r="L61" i="1"/>
  <c r="L55" i="1"/>
  <c r="L49" i="1"/>
  <c r="L39" i="1"/>
  <c r="L41" i="1" s="1"/>
  <c r="L30" i="1"/>
  <c r="K30" i="1"/>
  <c r="U23" i="1"/>
  <c r="U18" i="1"/>
  <c r="U17" i="1"/>
  <c r="M11" i="1"/>
  <c r="L5" i="2"/>
  <c r="L8" i="2" s="1"/>
  <c r="H73" i="1"/>
  <c r="D73" i="1"/>
  <c r="G72" i="1"/>
  <c r="J60" i="1"/>
  <c r="K60" i="1" s="1"/>
  <c r="E75" i="1"/>
  <c r="F75" i="1" s="1"/>
  <c r="E71" i="1"/>
  <c r="F71" i="1" s="1"/>
  <c r="E70" i="1"/>
  <c r="E69" i="1"/>
  <c r="F69" i="1" s="1"/>
  <c r="E68" i="1"/>
  <c r="F68" i="1" s="1"/>
  <c r="E65" i="1"/>
  <c r="E64" i="1"/>
  <c r="E60" i="1"/>
  <c r="E59" i="1"/>
  <c r="E58" i="1"/>
  <c r="F58" i="1" s="1"/>
  <c r="E57" i="1"/>
  <c r="F57" i="1" s="1"/>
  <c r="G57" i="1" s="1"/>
  <c r="E56" i="1"/>
  <c r="F56" i="1" s="1"/>
  <c r="E54" i="1"/>
  <c r="F54" i="1" s="1"/>
  <c r="I75" i="1"/>
  <c r="J75" i="1" s="1"/>
  <c r="K75" i="1" s="1"/>
  <c r="I70" i="1"/>
  <c r="I73" i="1" s="1"/>
  <c r="I64" i="1"/>
  <c r="J64" i="1" s="1"/>
  <c r="I59" i="1"/>
  <c r="I58" i="1"/>
  <c r="J58" i="1" s="1"/>
  <c r="K58" i="1" s="1"/>
  <c r="I57" i="1"/>
  <c r="J57" i="1" s="1"/>
  <c r="K57" i="1" s="1"/>
  <c r="I56" i="1"/>
  <c r="J56" i="1" s="1"/>
  <c r="I54" i="1"/>
  <c r="D66" i="1"/>
  <c r="D61" i="1"/>
  <c r="E61" i="1" s="1"/>
  <c r="D55" i="1"/>
  <c r="E55" i="1" s="1"/>
  <c r="H66" i="1"/>
  <c r="H61" i="1"/>
  <c r="H55" i="1"/>
  <c r="C39" i="1"/>
  <c r="C41" i="1" s="1"/>
  <c r="C49" i="1"/>
  <c r="F44" i="1"/>
  <c r="F49" i="1" s="1"/>
  <c r="F39" i="1"/>
  <c r="F41" i="1" s="1"/>
  <c r="K39" i="1"/>
  <c r="K41" i="1" s="1"/>
  <c r="K49" i="1"/>
  <c r="J39" i="1"/>
  <c r="J41" i="1" s="1"/>
  <c r="J49" i="1"/>
  <c r="I39" i="1"/>
  <c r="I41" i="1" s="1"/>
  <c r="I49" i="1"/>
  <c r="G39" i="1"/>
  <c r="G41" i="1" s="1"/>
  <c r="G49" i="1"/>
  <c r="H49" i="1"/>
  <c r="H39" i="1"/>
  <c r="H41" i="1" s="1"/>
  <c r="S30" i="1"/>
  <c r="R30" i="1"/>
  <c r="T30" i="1"/>
  <c r="F30" i="1"/>
  <c r="J30" i="1"/>
  <c r="I30" i="1"/>
  <c r="H30" i="1"/>
  <c r="G30" i="1"/>
  <c r="T14" i="1"/>
  <c r="T10" i="1"/>
  <c r="C14" i="1"/>
  <c r="C10" i="1"/>
  <c r="C25" i="1" s="1"/>
  <c r="K14" i="1"/>
  <c r="K10" i="1"/>
  <c r="K25" i="1" s="1"/>
  <c r="G14" i="1"/>
  <c r="G10" i="1"/>
  <c r="G25" i="1" s="1"/>
  <c r="S14" i="1"/>
  <c r="S10" i="1"/>
  <c r="S25" i="1" s="1"/>
  <c r="R14" i="1"/>
  <c r="R10" i="1"/>
  <c r="R25" i="1" s="1"/>
  <c r="Q14" i="1"/>
  <c r="Q10" i="1"/>
  <c r="Q25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J14" i="1"/>
  <c r="J10" i="1"/>
  <c r="F14" i="1"/>
  <c r="F10" i="1"/>
  <c r="B14" i="1"/>
  <c r="B10" i="1"/>
  <c r="B25" i="1" s="1"/>
  <c r="I14" i="1"/>
  <c r="I10" i="1"/>
  <c r="I25" i="1" s="1"/>
  <c r="H14" i="1"/>
  <c r="H10" i="1"/>
  <c r="H25" i="1" s="1"/>
  <c r="E14" i="1"/>
  <c r="E10" i="1"/>
  <c r="D14" i="1"/>
  <c r="D10" i="1"/>
  <c r="D25" i="1" s="1"/>
  <c r="L50" i="1" l="1"/>
  <c r="L51" i="1" s="1"/>
  <c r="H50" i="1"/>
  <c r="H51" i="1" s="1"/>
  <c r="L62" i="1"/>
  <c r="L10" i="1"/>
  <c r="L25" i="1" s="1"/>
  <c r="G58" i="1"/>
  <c r="G69" i="1"/>
  <c r="G56" i="1"/>
  <c r="M8" i="1"/>
  <c r="N8" i="1" s="1"/>
  <c r="O8" i="1" s="1"/>
  <c r="U8" i="1" s="1"/>
  <c r="G75" i="1"/>
  <c r="M12" i="1"/>
  <c r="N12" i="1" s="1"/>
  <c r="O12" i="1" s="1"/>
  <c r="M13" i="1"/>
  <c r="N13" i="1" s="1"/>
  <c r="O13" i="1" s="1"/>
  <c r="N11" i="1"/>
  <c r="E73" i="1"/>
  <c r="L14" i="1"/>
  <c r="M9" i="1"/>
  <c r="N9" i="1" s="1"/>
  <c r="O9" i="1" s="1"/>
  <c r="G71" i="1"/>
  <c r="G54" i="1"/>
  <c r="I66" i="1"/>
  <c r="G68" i="1"/>
  <c r="F55" i="1"/>
  <c r="G55" i="1" s="1"/>
  <c r="K56" i="1"/>
  <c r="H62" i="1"/>
  <c r="E66" i="1"/>
  <c r="F61" i="1"/>
  <c r="E62" i="1"/>
  <c r="E82" i="1" s="1"/>
  <c r="K64" i="1"/>
  <c r="K66" i="1" s="1"/>
  <c r="J66" i="1"/>
  <c r="J70" i="1"/>
  <c r="J73" i="1" s="1"/>
  <c r="J54" i="1"/>
  <c r="K54" i="1" s="1"/>
  <c r="F59" i="1"/>
  <c r="G59" i="1" s="1"/>
  <c r="F60" i="1"/>
  <c r="G60" i="1" s="1"/>
  <c r="I61" i="1"/>
  <c r="F64" i="1"/>
  <c r="J59" i="1"/>
  <c r="K59" i="1" s="1"/>
  <c r="F65" i="1"/>
  <c r="G65" i="1" s="1"/>
  <c r="D62" i="1"/>
  <c r="D82" i="1" s="1"/>
  <c r="F70" i="1"/>
  <c r="G70" i="1" s="1"/>
  <c r="I55" i="1"/>
  <c r="J55" i="1" s="1"/>
  <c r="C50" i="1"/>
  <c r="C51" i="1" s="1"/>
  <c r="F50" i="1"/>
  <c r="F51" i="1" s="1"/>
  <c r="K50" i="1"/>
  <c r="K51" i="1" s="1"/>
  <c r="J50" i="1"/>
  <c r="J51" i="1" s="1"/>
  <c r="I50" i="1"/>
  <c r="I51" i="1" s="1"/>
  <c r="G50" i="1"/>
  <c r="G51" i="1" s="1"/>
  <c r="T15" i="1"/>
  <c r="T26" i="1" s="1"/>
  <c r="T25" i="1"/>
  <c r="C15" i="1"/>
  <c r="K15" i="1"/>
  <c r="G15" i="1"/>
  <c r="S15" i="1"/>
  <c r="R15" i="1"/>
  <c r="Q15" i="1"/>
  <c r="J15" i="1"/>
  <c r="J19" i="1" s="1"/>
  <c r="J25" i="1"/>
  <c r="F15" i="1"/>
  <c r="F26" i="1" s="1"/>
  <c r="F25" i="1"/>
  <c r="B15" i="1"/>
  <c r="D15" i="1"/>
  <c r="D26" i="1" s="1"/>
  <c r="I15" i="1"/>
  <c r="H15" i="1"/>
  <c r="E15" i="1"/>
  <c r="E19" i="1" s="1"/>
  <c r="E21" i="1" s="1"/>
  <c r="E25" i="1"/>
  <c r="H76" i="1" l="1"/>
  <c r="H82" i="1"/>
  <c r="L83" i="1"/>
  <c r="L82" i="1"/>
  <c r="L76" i="1"/>
  <c r="M14" i="1"/>
  <c r="L15" i="1"/>
  <c r="L26" i="1" s="1"/>
  <c r="O10" i="1"/>
  <c r="O25" i="1" s="1"/>
  <c r="I62" i="1"/>
  <c r="U13" i="1"/>
  <c r="M10" i="1"/>
  <c r="U12" i="1"/>
  <c r="G73" i="1"/>
  <c r="H83" i="1"/>
  <c r="O11" i="1"/>
  <c r="O14" i="1" s="1"/>
  <c r="N14" i="1"/>
  <c r="U9" i="1"/>
  <c r="U10" i="1" s="1"/>
  <c r="U25" i="1" s="1"/>
  <c r="U30" i="1"/>
  <c r="F73" i="1"/>
  <c r="N10" i="1"/>
  <c r="J61" i="1"/>
  <c r="J62" i="1" s="1"/>
  <c r="J82" i="1" s="1"/>
  <c r="D83" i="1"/>
  <c r="F62" i="1"/>
  <c r="D76" i="1"/>
  <c r="K70" i="1"/>
  <c r="K73" i="1" s="1"/>
  <c r="G61" i="1"/>
  <c r="G62" i="1" s="1"/>
  <c r="G82" i="1" s="1"/>
  <c r="K55" i="1"/>
  <c r="E83" i="1"/>
  <c r="E76" i="1"/>
  <c r="E77" i="1" s="1"/>
  <c r="E84" i="1"/>
  <c r="F66" i="1"/>
  <c r="E22" i="1"/>
  <c r="E53" i="1"/>
  <c r="G64" i="1"/>
  <c r="G66" i="1" s="1"/>
  <c r="D19" i="1"/>
  <c r="D28" i="1" s="1"/>
  <c r="T19" i="1"/>
  <c r="T21" i="1" s="1"/>
  <c r="C19" i="1"/>
  <c r="C26" i="1"/>
  <c r="K26" i="1"/>
  <c r="K19" i="1"/>
  <c r="G19" i="1"/>
  <c r="G26" i="1"/>
  <c r="S26" i="1"/>
  <c r="S19" i="1"/>
  <c r="R26" i="1"/>
  <c r="R19" i="1"/>
  <c r="Q19" i="1"/>
  <c r="Q26" i="1"/>
  <c r="J26" i="1"/>
  <c r="J21" i="1"/>
  <c r="J53" i="1" s="1"/>
  <c r="J28" i="1"/>
  <c r="F19" i="1"/>
  <c r="F28" i="1" s="1"/>
  <c r="B26" i="1"/>
  <c r="B19" i="1"/>
  <c r="I19" i="1"/>
  <c r="I26" i="1"/>
  <c r="H26" i="1"/>
  <c r="H19" i="1"/>
  <c r="E26" i="1"/>
  <c r="E28" i="1"/>
  <c r="E27" i="1"/>
  <c r="I76" i="1" l="1"/>
  <c r="I77" i="1" s="1"/>
  <c r="I82" i="1"/>
  <c r="F83" i="1"/>
  <c r="F82" i="1"/>
  <c r="M15" i="1"/>
  <c r="M26" i="1" s="1"/>
  <c r="L19" i="1"/>
  <c r="L28" i="1" s="1"/>
  <c r="O15" i="1"/>
  <c r="O26" i="1" s="1"/>
  <c r="M25" i="1"/>
  <c r="I83" i="1"/>
  <c r="K61" i="1"/>
  <c r="K62" i="1" s="1"/>
  <c r="K82" i="1" s="1"/>
  <c r="G84" i="1"/>
  <c r="U11" i="1"/>
  <c r="U14" i="1" s="1"/>
  <c r="U15" i="1" s="1"/>
  <c r="N15" i="1"/>
  <c r="N26" i="1" s="1"/>
  <c r="N25" i="1"/>
  <c r="F76" i="1"/>
  <c r="F77" i="1" s="1"/>
  <c r="J83" i="1"/>
  <c r="J76" i="1"/>
  <c r="D21" i="1"/>
  <c r="D53" i="1" s="1"/>
  <c r="T28" i="1"/>
  <c r="T22" i="1"/>
  <c r="T27" i="1"/>
  <c r="C28" i="1"/>
  <c r="C21" i="1"/>
  <c r="K21" i="1"/>
  <c r="K53" i="1" s="1"/>
  <c r="K28" i="1"/>
  <c r="G21" i="1"/>
  <c r="G53" i="1" s="1"/>
  <c r="G28" i="1"/>
  <c r="S21" i="1"/>
  <c r="S28" i="1"/>
  <c r="R28" i="1"/>
  <c r="R21" i="1"/>
  <c r="Q28" i="1"/>
  <c r="Q21" i="1"/>
  <c r="J27" i="1"/>
  <c r="J22" i="1"/>
  <c r="F21" i="1"/>
  <c r="B28" i="1"/>
  <c r="B21" i="1"/>
  <c r="I28" i="1"/>
  <c r="I21" i="1"/>
  <c r="I53" i="1" s="1"/>
  <c r="H28" i="1"/>
  <c r="H21" i="1"/>
  <c r="H53" i="1" s="1"/>
  <c r="J77" i="1" l="1"/>
  <c r="L21" i="1"/>
  <c r="U26" i="1"/>
  <c r="K76" i="1"/>
  <c r="K83" i="1"/>
  <c r="F22" i="1"/>
  <c r="F53" i="1"/>
  <c r="D22" i="1"/>
  <c r="D27" i="1"/>
  <c r="C27" i="1"/>
  <c r="C22" i="1"/>
  <c r="K22" i="1"/>
  <c r="K27" i="1"/>
  <c r="G22" i="1"/>
  <c r="G27" i="1"/>
  <c r="S22" i="1"/>
  <c r="S27" i="1"/>
  <c r="R27" i="1"/>
  <c r="R22" i="1"/>
  <c r="Q22" i="1"/>
  <c r="Q27" i="1"/>
  <c r="F27" i="1"/>
  <c r="B27" i="1"/>
  <c r="B22" i="1"/>
  <c r="I22" i="1"/>
  <c r="I27" i="1"/>
  <c r="H27" i="1"/>
  <c r="H22" i="1"/>
  <c r="G76" i="1"/>
  <c r="K77" i="1" l="1"/>
  <c r="L77" i="1" s="1"/>
  <c r="L27" i="1"/>
  <c r="L53" i="1"/>
  <c r="M16" i="1"/>
  <c r="M19" i="1" s="1"/>
  <c r="L22" i="1"/>
  <c r="G83" i="1"/>
  <c r="M20" i="1" l="1"/>
  <c r="M21" i="1" s="1"/>
  <c r="M27" i="1" l="1"/>
  <c r="M22" i="1"/>
  <c r="M33" i="1"/>
  <c r="M28" i="1"/>
  <c r="N16" i="1" l="1"/>
  <c r="N19" i="1" l="1"/>
  <c r="N20" i="1" l="1"/>
  <c r="N21" i="1" s="1"/>
  <c r="N27" i="1" l="1"/>
  <c r="N22" i="1"/>
  <c r="N33" i="1"/>
  <c r="N28" i="1"/>
  <c r="O16" i="1" l="1"/>
  <c r="O19" i="1" l="1"/>
  <c r="U16" i="1"/>
  <c r="U19" i="1" s="1"/>
  <c r="O20" i="1" l="1"/>
  <c r="O21" i="1" s="1"/>
  <c r="O22" i="1" l="1"/>
  <c r="O27" i="1"/>
  <c r="O33" i="1"/>
  <c r="O28" i="1"/>
  <c r="U20" i="1"/>
  <c r="U28" i="1" l="1"/>
  <c r="U21" i="1"/>
  <c r="U27" i="1" l="1"/>
  <c r="U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F44" authorId="0" shapeId="0" xr:uid="{211A4305-69C4-4406-99D1-A87A43182FC5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$3,520 dividend note with related party </t>
        </r>
      </text>
    </comment>
  </commentList>
</comments>
</file>

<file path=xl/sharedStrings.xml><?xml version="1.0" encoding="utf-8"?>
<sst xmlns="http://schemas.openxmlformats.org/spreadsheetml/2006/main" count="104" uniqueCount="94">
  <si>
    <t>Mobileye</t>
  </si>
  <si>
    <t>(MBLY)</t>
  </si>
  <si>
    <t>(in millions)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</si>
  <si>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</si>
  <si>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</si>
  <si>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</si>
  <si>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</si>
  <si>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</si>
  <si>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</si>
  <si>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</si>
  <si>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</si>
  <si>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income</t>
  </si>
  <si>
    <t>Interest expense</t>
  </si>
  <si>
    <t>Other</t>
  </si>
  <si>
    <t>Pretaxes</t>
  </si>
  <si>
    <t>Taxes</t>
  </si>
  <si>
    <t>Net income</t>
  </si>
  <si>
    <t>EPS</t>
  </si>
  <si>
    <t>Shares</t>
  </si>
  <si>
    <t>Q122</t>
  </si>
  <si>
    <t>Q222</t>
  </si>
  <si>
    <t>Q322</t>
  </si>
  <si>
    <t>Q422</t>
  </si>
  <si>
    <t>Q123</t>
  </si>
  <si>
    <t>Q223</t>
  </si>
  <si>
    <t>Q323</t>
  </si>
  <si>
    <t>Q423</t>
  </si>
  <si>
    <t>Gross margin</t>
  </si>
  <si>
    <t>Operating margin</t>
  </si>
  <si>
    <t>Net margin</t>
  </si>
  <si>
    <t>Tax rate</t>
  </si>
  <si>
    <t>Q321</t>
  </si>
  <si>
    <t>Q421</t>
  </si>
  <si>
    <t>Q124</t>
  </si>
  <si>
    <t>Q224</t>
  </si>
  <si>
    <t>Q324</t>
  </si>
  <si>
    <t>Q424</t>
  </si>
  <si>
    <t>Revenue y/y</t>
  </si>
  <si>
    <t>Net cash</t>
  </si>
  <si>
    <t>Cash</t>
  </si>
  <si>
    <t>A/R</t>
  </si>
  <si>
    <t>Inventories</t>
  </si>
  <si>
    <t>OCA</t>
  </si>
  <si>
    <t>PP&amp;E</t>
  </si>
  <si>
    <t>Goodwill</t>
  </si>
  <si>
    <t>ONCA</t>
  </si>
  <si>
    <t>Total assets</t>
  </si>
  <si>
    <t>A/P</t>
  </si>
  <si>
    <t>Accrued expense</t>
  </si>
  <si>
    <t>P/P</t>
  </si>
  <si>
    <t>OCL</t>
  </si>
  <si>
    <t>Benefits</t>
  </si>
  <si>
    <t>D/T</t>
  </si>
  <si>
    <t>ONCL</t>
  </si>
  <si>
    <t>S/E</t>
  </si>
  <si>
    <t>L+S/E</t>
  </si>
  <si>
    <t>Total liabilities</t>
  </si>
  <si>
    <t>Loan</t>
  </si>
  <si>
    <t>Model NI</t>
  </si>
  <si>
    <t>Reported NI</t>
  </si>
  <si>
    <t>D&amp;A</t>
  </si>
  <si>
    <t>SBC</t>
  </si>
  <si>
    <t>FCC</t>
  </si>
  <si>
    <t>Interest party</t>
  </si>
  <si>
    <t>CFFO</t>
  </si>
  <si>
    <t>Working capital</t>
  </si>
  <si>
    <t>CapEx</t>
  </si>
  <si>
    <t xml:space="preserve">Loan due </t>
  </si>
  <si>
    <t>CFFI</t>
  </si>
  <si>
    <t>Transfer</t>
  </si>
  <si>
    <t>Recharge</t>
  </si>
  <si>
    <t xml:space="preserve">Offering </t>
  </si>
  <si>
    <t>CFFF</t>
  </si>
  <si>
    <t>FX</t>
  </si>
  <si>
    <t>CIC</t>
  </si>
  <si>
    <t>CFFO+CapEx-SBC</t>
  </si>
  <si>
    <t>Dividend</t>
  </si>
  <si>
    <t>CFFO+CapEx-SBC+Dividend</t>
  </si>
  <si>
    <t>Transaction</t>
  </si>
  <si>
    <t>Price</t>
  </si>
  <si>
    <t>MC</t>
  </si>
  <si>
    <t>Debt</t>
  </si>
  <si>
    <t>EV</t>
  </si>
  <si>
    <t>As of Decemeber 30, 2023 solution has been installed in</t>
  </si>
  <si>
    <t>Working with 50 original equipment manufactures (OEM)</t>
  </si>
  <si>
    <t>approxmately 800 models, and System-on-Chips(SoC) has</t>
  </si>
  <si>
    <t>Products</t>
  </si>
  <si>
    <t>EyeQ shipments</t>
  </si>
  <si>
    <t>CEO Shashua Amnon ownes 3 million shares</t>
  </si>
  <si>
    <t>been deployed in approximately 170 million vehicles.</t>
  </si>
  <si>
    <t>CFFO-SBC</t>
  </si>
  <si>
    <t>Cash end of period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</si>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</sst>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1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0" fillId="0" borderId="0" xfId="0" applyFont="1"/>
    <xf numFmtId="3" fontId="0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28575</xdr:rowOff>
    </xdr:from>
    <xdr:to>
      <xdr:col>20</xdr:col>
      <xdr:colOff>19050</xdr:colOff>
      <xdr:row>44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FCF614-4CBB-982E-2490-CF56BAA59513}"/>
            </a:ext>
          </a:extLst>
        </xdr:cNvPr>
        <xdr:cNvCxnSpPr/>
      </xdr:nvCxnSpPr>
      <xdr:spPr>
        <a:xfrm>
          <a:off x="13820775" y="28575"/>
          <a:ext cx="0" cy="737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0</xdr:row>
      <xdr:rowOff>95250</xdr:rowOff>
    </xdr:from>
    <xdr:to>
      <xdr:col>12</xdr:col>
      <xdr:colOff>28575</xdr:colOff>
      <xdr:row>44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2C72129-AA5E-4C94-A5B7-1764172D3EC7}"/>
            </a:ext>
          </a:extLst>
        </xdr:cNvPr>
        <xdr:cNvCxnSpPr/>
      </xdr:nvCxnSpPr>
      <xdr:spPr>
        <a:xfrm>
          <a:off x="8953500" y="95250"/>
          <a:ext cx="0" cy="737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7FF1-A568-4079-875E-0A1EB0E3646B}">
  <dimension ref="A1:M15"/>
  <sheetViews>
    <sheetView topLeftCell="B1" workbookViewId="0">
      <selection activeCell="L9" sqref="L9"/>
    </sheetView>
  </sheetViews>
  <sheetFormatPr defaultRowHeight="12.75" x14ac:dyDescent="0.2"/>
  <cols>
    <col min="1" max="1" width="23.140625" bestFit="1" customWidth="1"/>
    <col min="3" max="3" width="9.140625" customWidth="1"/>
  </cols>
  <sheetData>
    <row r="1" spans="1:13" ht="34.5" x14ac:dyDescent="0.45">
      <c r="A1" s="1" t="s">
        <v>0</v>
      </c>
    </row>
    <row r="2" spans="1:13" x14ac:dyDescent="0.2">
      <c r="A2" t="s">
        <v>1</v>
      </c>
    </row>
    <row r="3" spans="1:13" x14ac:dyDescent="0.2">
      <c r="A3" t="s">
        <v>2</v>
      </c>
      <c r="C3" s="2" t="s">
        <v>86</v>
      </c>
      <c r="K3" t="s">
        <v>79</v>
      </c>
      <c r="L3" s="4">
        <v>27.72</v>
      </c>
    </row>
    <row r="4" spans="1:13" x14ac:dyDescent="0.2">
      <c r="K4" t="s">
        <v>18</v>
      </c>
      <c r="L4" s="4">
        <v>805</v>
      </c>
      <c r="M4" s="8" t="s">
        <v>26</v>
      </c>
    </row>
    <row r="5" spans="1:13" x14ac:dyDescent="0.2">
      <c r="K5" t="s">
        <v>80</v>
      </c>
      <c r="L5" s="4">
        <f>+L4*L3</f>
        <v>22314.6</v>
      </c>
      <c r="M5" s="8"/>
    </row>
    <row r="6" spans="1:13" x14ac:dyDescent="0.2">
      <c r="K6" t="s">
        <v>39</v>
      </c>
      <c r="L6" s="4">
        <v>1212</v>
      </c>
      <c r="M6" s="8" t="s">
        <v>26</v>
      </c>
    </row>
    <row r="7" spans="1:13" x14ac:dyDescent="0.2">
      <c r="K7" t="s">
        <v>81</v>
      </c>
      <c r="L7" s="4">
        <v>0</v>
      </c>
      <c r="M7" s="8" t="s">
        <v>26</v>
      </c>
    </row>
    <row r="8" spans="1:13" x14ac:dyDescent="0.2">
      <c r="K8" t="s">
        <v>82</v>
      </c>
      <c r="L8" s="4">
        <f>+L5-L6+L7</f>
        <v>21102.6</v>
      </c>
    </row>
    <row r="9" spans="1:13" x14ac:dyDescent="0.2">
      <c r="L9" s="4">
        <f>+L8/(1188*1.1)</f>
        <v>16.148301193755735</v>
      </c>
    </row>
    <row r="10" spans="1:13" x14ac:dyDescent="0.2">
      <c r="L10" s="10"/>
    </row>
    <row r="12" spans="1:13" x14ac:dyDescent="0.2">
      <c r="C12" t="s">
        <v>83</v>
      </c>
      <c r="K12" t="s">
        <v>88</v>
      </c>
    </row>
    <row r="13" spans="1:13" x14ac:dyDescent="0.2">
      <c r="C13" t="s">
        <v>85</v>
      </c>
    </row>
    <row r="14" spans="1:13" x14ac:dyDescent="0.2">
      <c r="C14" t="s">
        <v>89</v>
      </c>
    </row>
    <row r="15" spans="1:13" x14ac:dyDescent="0.2">
      <c r="C15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914E-15DC-45E1-B592-0D14A6D96F82}">
  <sheetPr>
    <pageSetUpPr autoPageBreaks="0"/>
  </sheetPr>
  <dimension ref="A1:AE84"/>
  <sheetViews>
    <sheetView tabSelected="1" zoomScaleNormal="100" workbookViewId="0">
      <pane xSplit="1" ySplit="3" topLeftCell="K10" activePane="bottomRight" state="frozen"/>
      <selection pane="topRight" activeCell="B1" sqref="B1"/>
      <selection pane="bottomLeft" activeCell="A4" sqref="A4"/>
      <selection pane="bottomRight" activeCell="Q33" sqref="Q33"/>
    </sheetView>
  </sheetViews>
  <sheetFormatPr defaultColWidth="0" defaultRowHeight="12.75" x14ac:dyDescent="0.2"/>
  <cols>
    <col min="1" max="1" width="23.140625" bestFit="1" customWidth="1"/>
    <col min="2" max="2" width="10.140625" bestFit="1" customWidth="1"/>
    <col min="3" max="3" width="10.28515625" customWidth="1"/>
    <col min="4" max="11" width="10.140625" style="4" bestFit="1" customWidth="1"/>
    <col min="12" max="15" width="9.140625" style="4" customWidth="1"/>
    <col min="16" max="31" width="9.140625" customWidth="1"/>
  </cols>
  <sheetData>
    <row r="1" spans="1:31" ht="34.5" x14ac:dyDescent="0.45">
      <c r="A1" s="1" t="s">
        <v>0</v>
      </c>
      <c r="B1" s="1"/>
      <c r="C1" s="1"/>
      <c r="D1"/>
      <c r="E1"/>
      <c r="F1"/>
      <c r="G1"/>
      <c r="H1"/>
      <c r="I1"/>
      <c r="J1"/>
      <c r="K1"/>
      <c r="L1"/>
      <c r="M1"/>
      <c r="N1"/>
      <c r="O1"/>
    </row>
    <row r="2" spans="1:31" x14ac:dyDescent="0.2">
      <c r="A2" t="s">
        <v>1</v>
      </c>
      <c r="B2" s="7">
        <v>44464</v>
      </c>
      <c r="C2" s="7">
        <v>44555</v>
      </c>
      <c r="D2" s="7">
        <v>44653</v>
      </c>
      <c r="E2" s="7">
        <v>44744</v>
      </c>
      <c r="F2" s="7">
        <v>44835</v>
      </c>
      <c r="G2" s="7">
        <v>44926</v>
      </c>
      <c r="H2" s="7">
        <v>45017</v>
      </c>
      <c r="I2" s="7">
        <v>45108</v>
      </c>
      <c r="J2" s="7">
        <v>45199</v>
      </c>
      <c r="K2" s="7">
        <v>45290</v>
      </c>
      <c r="L2"/>
      <c r="M2"/>
      <c r="N2"/>
      <c r="O2"/>
    </row>
    <row r="3" spans="1:31" s="8" customFormat="1" x14ac:dyDescent="0.2">
      <c r="A3" t="s">
        <v>2</v>
      </c>
      <c r="B3" s="8" t="s">
        <v>31</v>
      </c>
      <c r="C3" s="8" t="s">
        <v>32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24</v>
      </c>
      <c r="J3" s="8" t="s">
        <v>25</v>
      </c>
      <c r="K3" s="8" t="s">
        <v>26</v>
      </c>
      <c r="L3" s="8" t="s">
        <v>33</v>
      </c>
      <c r="M3" s="8" t="s">
        <v>34</v>
      </c>
      <c r="N3" s="8" t="s">
        <v>35</v>
      </c>
      <c r="O3" s="8" t="s">
        <v>36</v>
      </c>
      <c r="Q3" s="8">
        <v>2020</v>
      </c>
      <c r="R3" s="8">
        <v>2021</v>
      </c>
      <c r="S3" s="8">
        <v>2022</v>
      </c>
      <c r="T3" s="8">
        <v>2023</v>
      </c>
      <c r="U3" s="8">
        <v>2024</v>
      </c>
      <c r="V3" s="8">
        <f>+U3+1</f>
        <v>2025</v>
      </c>
      <c r="W3" s="8">
        <f t="shared" ref="W3:AE3" si="0">+V3+1</f>
        <v>2026</v>
      </c>
      <c r="X3" s="8">
        <f t="shared" si="0"/>
        <v>2027</v>
      </c>
      <c r="Y3" s="8">
        <f t="shared" si="0"/>
        <v>2028</v>
      </c>
      <c r="Z3" s="8">
        <f t="shared" si="0"/>
        <v>2029</v>
      </c>
      <c r="AA3" s="8">
        <f t="shared" si="0"/>
        <v>2030</v>
      </c>
      <c r="AB3" s="8">
        <f t="shared" si="0"/>
        <v>2031</v>
      </c>
      <c r="AC3" s="8">
        <f t="shared" si="0"/>
        <v>2032</v>
      </c>
      <c r="AD3" s="8">
        <f t="shared" si="0"/>
        <v>2033</v>
      </c>
      <c r="AE3" s="8">
        <f t="shared" si="0"/>
        <v>2034</v>
      </c>
    </row>
    <row r="4" spans="1:31" s="8" customFormat="1" x14ac:dyDescent="0.2">
      <c r="A4"/>
    </row>
    <row r="5" spans="1:31" s="8" customFormat="1" x14ac:dyDescent="0.2">
      <c r="A5" t="s">
        <v>87</v>
      </c>
      <c r="Q5" s="11">
        <v>19.3</v>
      </c>
      <c r="R5" s="11">
        <v>28.1</v>
      </c>
      <c r="S5" s="11">
        <v>33.700000000000003</v>
      </c>
      <c r="T5" s="11">
        <v>37.4</v>
      </c>
    </row>
    <row r="6" spans="1:31" s="8" customFormat="1" x14ac:dyDescent="0.2">
      <c r="A6"/>
    </row>
    <row r="7" spans="1:31" s="8" customFormat="1" x14ac:dyDescent="0.2">
      <c r="A7"/>
    </row>
    <row r="8" spans="1:31" s="2" customFormat="1" x14ac:dyDescent="0.2">
      <c r="A8" s="2" t="s">
        <v>3</v>
      </c>
      <c r="B8" s="3">
        <v>326</v>
      </c>
      <c r="C8" s="3">
        <v>356</v>
      </c>
      <c r="D8" s="3">
        <v>394</v>
      </c>
      <c r="E8" s="3">
        <v>460</v>
      </c>
      <c r="F8" s="3">
        <v>450</v>
      </c>
      <c r="G8" s="3">
        <v>565</v>
      </c>
      <c r="H8" s="3">
        <v>458</v>
      </c>
      <c r="I8" s="3">
        <v>454</v>
      </c>
      <c r="J8" s="3">
        <v>530</v>
      </c>
      <c r="K8" s="3">
        <v>637</v>
      </c>
      <c r="L8" s="3">
        <v>239</v>
      </c>
      <c r="M8" s="3">
        <f t="shared" ref="M8:O8" si="1">+L8*1.2</f>
        <v>286.8</v>
      </c>
      <c r="N8" s="3">
        <f t="shared" si="1"/>
        <v>344.16</v>
      </c>
      <c r="O8" s="3">
        <f t="shared" si="1"/>
        <v>412.99200000000002</v>
      </c>
      <c r="Q8" s="3">
        <v>967</v>
      </c>
      <c r="R8" s="3">
        <v>1386</v>
      </c>
      <c r="S8" s="3">
        <v>1869</v>
      </c>
      <c r="T8" s="3">
        <v>2079</v>
      </c>
      <c r="U8" s="3">
        <f>+SUM(L8:O8)</f>
        <v>1282.952</v>
      </c>
    </row>
    <row r="9" spans="1:31" x14ac:dyDescent="0.2">
      <c r="A9" t="s">
        <v>4</v>
      </c>
      <c r="B9" s="4">
        <v>173</v>
      </c>
      <c r="C9" s="4">
        <v>202</v>
      </c>
      <c r="D9" s="4">
        <v>218</v>
      </c>
      <c r="E9" s="4">
        <v>231</v>
      </c>
      <c r="F9" s="4">
        <v>233</v>
      </c>
      <c r="G9" s="4">
        <v>265</v>
      </c>
      <c r="H9" s="4">
        <v>251</v>
      </c>
      <c r="I9" s="4">
        <v>230</v>
      </c>
      <c r="J9" s="4">
        <v>258</v>
      </c>
      <c r="K9" s="4">
        <v>293</v>
      </c>
      <c r="L9" s="4">
        <v>185</v>
      </c>
      <c r="M9" s="4">
        <f t="shared" ref="M9:O9" si="2">+L9*1.15</f>
        <v>212.74999999999997</v>
      </c>
      <c r="N9" s="4">
        <f t="shared" si="2"/>
        <v>244.66249999999994</v>
      </c>
      <c r="O9" s="4">
        <f t="shared" si="2"/>
        <v>281.36187499999988</v>
      </c>
      <c r="Q9" s="4">
        <v>591</v>
      </c>
      <c r="R9" s="4">
        <v>731</v>
      </c>
      <c r="S9" s="4">
        <v>947</v>
      </c>
      <c r="T9" s="4">
        <v>1032</v>
      </c>
      <c r="U9" s="4">
        <f>+SUM(L9:O9)</f>
        <v>923.77437499999974</v>
      </c>
    </row>
    <row r="10" spans="1:31" x14ac:dyDescent="0.2">
      <c r="A10" t="s">
        <v>5</v>
      </c>
      <c r="B10" s="4">
        <f t="shared" ref="B10:K10" si="3">+B8-B9</f>
        <v>153</v>
      </c>
      <c r="C10" s="4">
        <f t="shared" si="3"/>
        <v>154</v>
      </c>
      <c r="D10" s="4">
        <f t="shared" si="3"/>
        <v>176</v>
      </c>
      <c r="E10" s="4">
        <f t="shared" si="3"/>
        <v>229</v>
      </c>
      <c r="F10" s="4">
        <f t="shared" si="3"/>
        <v>217</v>
      </c>
      <c r="G10" s="4">
        <f t="shared" si="3"/>
        <v>300</v>
      </c>
      <c r="H10" s="4">
        <f t="shared" si="3"/>
        <v>207</v>
      </c>
      <c r="I10" s="4">
        <f t="shared" si="3"/>
        <v>224</v>
      </c>
      <c r="J10" s="4">
        <f t="shared" si="3"/>
        <v>272</v>
      </c>
      <c r="K10" s="4">
        <f t="shared" si="3"/>
        <v>344</v>
      </c>
      <c r="L10" s="4">
        <f t="shared" ref="L10" si="4">+L8-L9</f>
        <v>54</v>
      </c>
      <c r="M10" s="4">
        <f t="shared" ref="M10" si="5">+M8-M9</f>
        <v>74.05000000000004</v>
      </c>
      <c r="N10" s="4">
        <f t="shared" ref="N10" si="6">+N8-N9</f>
        <v>99.497500000000088</v>
      </c>
      <c r="O10" s="4">
        <f t="shared" ref="O10" si="7">+O8-O9</f>
        <v>131.63012500000013</v>
      </c>
      <c r="Q10" s="4">
        <f>+Q8-Q9</f>
        <v>376</v>
      </c>
      <c r="R10" s="4">
        <f>+R8-R9</f>
        <v>655</v>
      </c>
      <c r="S10" s="4">
        <f>+S8-S9</f>
        <v>922</v>
      </c>
      <c r="T10" s="4">
        <f>+T8-T9</f>
        <v>1047</v>
      </c>
      <c r="U10" s="4">
        <f>+U8-U9</f>
        <v>359.17762500000026</v>
      </c>
    </row>
    <row r="11" spans="1:31" x14ac:dyDescent="0.2">
      <c r="A11" t="s">
        <v>6</v>
      </c>
      <c r="B11" s="4">
        <v>132</v>
      </c>
      <c r="C11" s="4">
        <v>154</v>
      </c>
      <c r="D11" s="4">
        <v>180</v>
      </c>
      <c r="E11" s="4">
        <v>179</v>
      </c>
      <c r="F11" s="4">
        <v>206</v>
      </c>
      <c r="G11" s="4">
        <v>224</v>
      </c>
      <c r="H11" s="4">
        <v>235</v>
      </c>
      <c r="I11" s="4">
        <v>211</v>
      </c>
      <c r="J11" s="4">
        <v>218</v>
      </c>
      <c r="K11" s="4">
        <v>225</v>
      </c>
      <c r="L11" s="4">
        <v>243</v>
      </c>
      <c r="M11" s="4">
        <f t="shared" ref="M11:O11" si="8">+L11*1.03</f>
        <v>250.29000000000002</v>
      </c>
      <c r="N11" s="4">
        <f t="shared" si="8"/>
        <v>257.79870000000005</v>
      </c>
      <c r="O11" s="4">
        <f t="shared" si="8"/>
        <v>265.53266100000008</v>
      </c>
      <c r="Q11" s="4">
        <v>440</v>
      </c>
      <c r="R11" s="4">
        <v>544</v>
      </c>
      <c r="S11" s="4">
        <v>789</v>
      </c>
      <c r="T11" s="4">
        <v>889</v>
      </c>
      <c r="U11" s="4">
        <f>+SUM(L11:O11)</f>
        <v>1016.6213610000001</v>
      </c>
    </row>
    <row r="12" spans="1:31" x14ac:dyDescent="0.2">
      <c r="A12" t="s">
        <v>7</v>
      </c>
      <c r="B12" s="4">
        <v>33</v>
      </c>
      <c r="C12" s="4">
        <v>36</v>
      </c>
      <c r="D12" s="4">
        <v>35</v>
      </c>
      <c r="E12" s="4">
        <v>29</v>
      </c>
      <c r="F12" s="4">
        <v>27</v>
      </c>
      <c r="G12" s="4">
        <v>29</v>
      </c>
      <c r="H12" s="4">
        <v>33</v>
      </c>
      <c r="I12" s="4">
        <v>29</v>
      </c>
      <c r="J12" s="4">
        <v>28</v>
      </c>
      <c r="K12" s="4">
        <v>28</v>
      </c>
      <c r="L12" s="4">
        <v>34</v>
      </c>
      <c r="M12" s="4">
        <f t="shared" ref="M12:O12" si="9">+L12*1.01</f>
        <v>34.340000000000003</v>
      </c>
      <c r="N12" s="4">
        <f t="shared" si="9"/>
        <v>34.683400000000006</v>
      </c>
      <c r="O12" s="4">
        <f t="shared" si="9"/>
        <v>35.030234000000007</v>
      </c>
      <c r="Q12" s="4">
        <v>116</v>
      </c>
      <c r="R12" s="4">
        <v>134</v>
      </c>
      <c r="S12" s="4">
        <v>120</v>
      </c>
      <c r="T12" s="4">
        <v>118</v>
      </c>
      <c r="U12" s="4">
        <f>+SUM(L12:O12)</f>
        <v>138.05363400000002</v>
      </c>
    </row>
    <row r="13" spans="1:31" x14ac:dyDescent="0.2">
      <c r="A13" t="s">
        <v>8</v>
      </c>
      <c r="B13" s="4">
        <v>8</v>
      </c>
      <c r="C13" s="4">
        <v>8</v>
      </c>
      <c r="D13" s="4">
        <v>7</v>
      </c>
      <c r="E13" s="4">
        <v>11</v>
      </c>
      <c r="F13" s="4">
        <v>9</v>
      </c>
      <c r="G13" s="4">
        <v>23</v>
      </c>
      <c r="H13" s="4">
        <v>20</v>
      </c>
      <c r="I13" s="4">
        <v>17</v>
      </c>
      <c r="J13" s="4">
        <v>18</v>
      </c>
      <c r="K13" s="4">
        <v>18</v>
      </c>
      <c r="L13" s="4">
        <v>15</v>
      </c>
      <c r="M13" s="4">
        <f t="shared" ref="M13:O13" si="10">+L13*1.01</f>
        <v>15.15</v>
      </c>
      <c r="N13" s="4">
        <f t="shared" si="10"/>
        <v>15.301500000000001</v>
      </c>
      <c r="O13" s="4">
        <f t="shared" si="10"/>
        <v>15.454515000000001</v>
      </c>
      <c r="Q13" s="4">
        <v>33</v>
      </c>
      <c r="R13" s="4">
        <v>34</v>
      </c>
      <c r="S13" s="4">
        <v>50</v>
      </c>
      <c r="T13" s="4">
        <v>73</v>
      </c>
      <c r="U13" s="4">
        <f>+SUM(L13:O13)</f>
        <v>60.906014999999996</v>
      </c>
    </row>
    <row r="14" spans="1:31" x14ac:dyDescent="0.2">
      <c r="A14" t="s">
        <v>9</v>
      </c>
      <c r="B14" s="4">
        <f t="shared" ref="B14:K14" si="11">+SUM(B11:B13)</f>
        <v>173</v>
      </c>
      <c r="C14" s="4">
        <f t="shared" si="11"/>
        <v>198</v>
      </c>
      <c r="D14" s="4">
        <f t="shared" si="11"/>
        <v>222</v>
      </c>
      <c r="E14" s="4">
        <f t="shared" si="11"/>
        <v>219</v>
      </c>
      <c r="F14" s="4">
        <f t="shared" si="11"/>
        <v>242</v>
      </c>
      <c r="G14" s="4">
        <f t="shared" si="11"/>
        <v>276</v>
      </c>
      <c r="H14" s="4">
        <f t="shared" si="11"/>
        <v>288</v>
      </c>
      <c r="I14" s="4">
        <f t="shared" si="11"/>
        <v>257</v>
      </c>
      <c r="J14" s="4">
        <f t="shared" si="11"/>
        <v>264</v>
      </c>
      <c r="K14" s="4">
        <f t="shared" si="11"/>
        <v>271</v>
      </c>
      <c r="L14" s="4">
        <f t="shared" ref="L14" si="12">+SUM(L11:L13)</f>
        <v>292</v>
      </c>
      <c r="M14" s="4">
        <f t="shared" ref="M14" si="13">+SUM(M11:M13)</f>
        <v>299.77999999999997</v>
      </c>
      <c r="N14" s="4">
        <f t="shared" ref="N14" si="14">+SUM(N11:N13)</f>
        <v>307.78360000000004</v>
      </c>
      <c r="O14" s="4">
        <f t="shared" ref="O14" si="15">+SUM(O11:O13)</f>
        <v>316.0174100000001</v>
      </c>
      <c r="Q14" s="4">
        <f>+SUM(Q11:Q13)</f>
        <v>589</v>
      </c>
      <c r="R14" s="4">
        <f>+SUM(R11:R13)</f>
        <v>712</v>
      </c>
      <c r="S14" s="4">
        <f>+SUM(S11:S13)</f>
        <v>959</v>
      </c>
      <c r="T14" s="4">
        <f>+SUM(T11:T13)</f>
        <v>1080</v>
      </c>
      <c r="U14" s="4">
        <f>+SUM(U11:U13)</f>
        <v>1215.5810100000001</v>
      </c>
    </row>
    <row r="15" spans="1:31" s="2" customFormat="1" x14ac:dyDescent="0.2">
      <c r="A15" s="2" t="s">
        <v>10</v>
      </c>
      <c r="B15" s="3">
        <f t="shared" ref="B15:K15" si="16">+B10-B14</f>
        <v>-20</v>
      </c>
      <c r="C15" s="3">
        <f t="shared" si="16"/>
        <v>-44</v>
      </c>
      <c r="D15" s="3">
        <f t="shared" si="16"/>
        <v>-46</v>
      </c>
      <c r="E15" s="3">
        <f t="shared" si="16"/>
        <v>10</v>
      </c>
      <c r="F15" s="3">
        <f t="shared" si="16"/>
        <v>-25</v>
      </c>
      <c r="G15" s="3">
        <f t="shared" si="16"/>
        <v>24</v>
      </c>
      <c r="H15" s="3">
        <f t="shared" si="16"/>
        <v>-81</v>
      </c>
      <c r="I15" s="3">
        <f t="shared" si="16"/>
        <v>-33</v>
      </c>
      <c r="J15" s="3">
        <f t="shared" si="16"/>
        <v>8</v>
      </c>
      <c r="K15" s="3">
        <f t="shared" si="16"/>
        <v>73</v>
      </c>
      <c r="L15" s="3">
        <f t="shared" ref="L15" si="17">+L10-L14</f>
        <v>-238</v>
      </c>
      <c r="M15" s="3">
        <f t="shared" ref="M15" si="18">+M10-M14</f>
        <v>-225.72999999999993</v>
      </c>
      <c r="N15" s="3">
        <f t="shared" ref="N15" si="19">+N10-N14</f>
        <v>-208.28609999999995</v>
      </c>
      <c r="O15" s="3">
        <f t="shared" ref="O15" si="20">+O10-O14</f>
        <v>-184.38728499999996</v>
      </c>
      <c r="Q15" s="3">
        <f>+Q10-Q14</f>
        <v>-213</v>
      </c>
      <c r="R15" s="3">
        <f>+R10-R14</f>
        <v>-57</v>
      </c>
      <c r="S15" s="3">
        <f>+S10-S14</f>
        <v>-37</v>
      </c>
      <c r="T15" s="3">
        <f>+T10-T14</f>
        <v>-33</v>
      </c>
      <c r="U15" s="3">
        <f>+U10-U14</f>
        <v>-856.40338499999984</v>
      </c>
    </row>
    <row r="16" spans="1:31" x14ac:dyDescent="0.2">
      <c r="A16" t="s">
        <v>11</v>
      </c>
      <c r="B16" s="4">
        <v>0</v>
      </c>
      <c r="C16" s="4">
        <v>1</v>
      </c>
      <c r="D16" s="4">
        <v>1</v>
      </c>
      <c r="E16" s="4">
        <v>3</v>
      </c>
      <c r="F16" s="4">
        <v>5</v>
      </c>
      <c r="G16" s="4">
        <v>9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f t="shared" ref="M16:O16" si="21">+L33*0.01</f>
        <v>12.23</v>
      </c>
      <c r="N16" s="4">
        <f t="shared" si="21"/>
        <v>10.8125</v>
      </c>
      <c r="O16" s="4">
        <f t="shared" si="21"/>
        <v>9.507184800000001</v>
      </c>
      <c r="Q16" s="4">
        <v>6</v>
      </c>
      <c r="R16" s="4">
        <v>3</v>
      </c>
      <c r="S16" s="4">
        <v>18</v>
      </c>
      <c r="T16" s="4">
        <v>0</v>
      </c>
      <c r="U16" s="4">
        <f>+SUM(L16:O16)</f>
        <v>32.549684800000001</v>
      </c>
    </row>
    <row r="17" spans="1:21" x14ac:dyDescent="0.2">
      <c r="A17" t="s">
        <v>12</v>
      </c>
      <c r="B17" s="4">
        <v>0</v>
      </c>
      <c r="C17" s="4">
        <v>0</v>
      </c>
      <c r="D17" s="4">
        <v>0</v>
      </c>
      <c r="E17" s="4">
        <v>-9</v>
      </c>
      <c r="F17" s="4">
        <v>-11</v>
      </c>
      <c r="G17" s="4">
        <v>-4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Q17" s="4">
        <v>0</v>
      </c>
      <c r="R17" s="4">
        <v>0</v>
      </c>
      <c r="S17" s="4">
        <v>-24</v>
      </c>
      <c r="T17" s="4">
        <v>0</v>
      </c>
      <c r="U17" s="4">
        <f>+SUM(L17:O17)</f>
        <v>0</v>
      </c>
    </row>
    <row r="18" spans="1:21" x14ac:dyDescent="0.2">
      <c r="A18" t="s">
        <v>13</v>
      </c>
      <c r="B18" s="4">
        <v>0</v>
      </c>
      <c r="C18" s="4">
        <v>-3</v>
      </c>
      <c r="D18" s="4">
        <v>1</v>
      </c>
      <c r="E18" s="4">
        <v>4</v>
      </c>
      <c r="F18" s="4">
        <v>1</v>
      </c>
      <c r="G18" s="4">
        <v>5</v>
      </c>
      <c r="H18" s="4">
        <v>8</v>
      </c>
      <c r="I18" s="4">
        <v>15</v>
      </c>
      <c r="J18" s="4">
        <v>15</v>
      </c>
      <c r="K18" s="4">
        <v>11</v>
      </c>
      <c r="L18" s="4">
        <v>17</v>
      </c>
      <c r="M18" s="4">
        <v>11</v>
      </c>
      <c r="N18" s="4">
        <v>11</v>
      </c>
      <c r="O18" s="4">
        <v>11</v>
      </c>
      <c r="Q18" s="4">
        <v>-5</v>
      </c>
      <c r="R18" s="4">
        <v>-3</v>
      </c>
      <c r="S18" s="4">
        <v>11</v>
      </c>
      <c r="T18" s="4">
        <v>49</v>
      </c>
      <c r="U18" s="4">
        <f>+SUM(L18:O18)</f>
        <v>50</v>
      </c>
    </row>
    <row r="19" spans="1:21" x14ac:dyDescent="0.2">
      <c r="A19" t="s">
        <v>14</v>
      </c>
      <c r="B19" s="4">
        <f t="shared" ref="B19:K19" si="22">+B15+SUM(B16:B18)</f>
        <v>-20</v>
      </c>
      <c r="C19" s="4">
        <f t="shared" si="22"/>
        <v>-46</v>
      </c>
      <c r="D19" s="4">
        <f t="shared" si="22"/>
        <v>-44</v>
      </c>
      <c r="E19" s="4">
        <f t="shared" si="22"/>
        <v>8</v>
      </c>
      <c r="F19" s="4">
        <f t="shared" si="22"/>
        <v>-30</v>
      </c>
      <c r="G19" s="4">
        <f t="shared" si="22"/>
        <v>34</v>
      </c>
      <c r="H19" s="4">
        <f t="shared" si="22"/>
        <v>-73</v>
      </c>
      <c r="I19" s="4">
        <f t="shared" si="22"/>
        <v>-18</v>
      </c>
      <c r="J19" s="4">
        <f t="shared" si="22"/>
        <v>23</v>
      </c>
      <c r="K19" s="4">
        <f t="shared" si="22"/>
        <v>84</v>
      </c>
      <c r="L19" s="4">
        <f t="shared" ref="L19" si="23">+L15+SUM(L16:L18)</f>
        <v>-221</v>
      </c>
      <c r="M19" s="4">
        <f t="shared" ref="M19" si="24">+M15+SUM(M16:M18)</f>
        <v>-202.49999999999994</v>
      </c>
      <c r="N19" s="4">
        <f t="shared" ref="N19" si="25">+N15+SUM(N16:N18)</f>
        <v>-186.47359999999995</v>
      </c>
      <c r="O19" s="4">
        <f t="shared" ref="O19" si="26">+O15+SUM(O16:O18)</f>
        <v>-163.88010019999996</v>
      </c>
      <c r="Q19" s="4">
        <f>+Q15+SUM(Q16:Q18)</f>
        <v>-212</v>
      </c>
      <c r="R19" s="4">
        <f>+R15+SUM(R16:R18)</f>
        <v>-57</v>
      </c>
      <c r="S19" s="4">
        <f>+S15+SUM(S16:S18)</f>
        <v>-32</v>
      </c>
      <c r="T19" s="4">
        <f>+T15+SUM(T16:T18)</f>
        <v>16</v>
      </c>
      <c r="U19" s="4">
        <f>+U15+SUM(U16:U18)</f>
        <v>-773.85370019999982</v>
      </c>
    </row>
    <row r="20" spans="1:21" x14ac:dyDescent="0.2">
      <c r="A20" t="s">
        <v>15</v>
      </c>
      <c r="B20" s="4">
        <v>6</v>
      </c>
      <c r="C20" s="4">
        <v>7</v>
      </c>
      <c r="D20" s="4">
        <v>16</v>
      </c>
      <c r="E20" s="4">
        <v>15</v>
      </c>
      <c r="F20" s="4">
        <v>15</v>
      </c>
      <c r="G20" s="4">
        <v>4</v>
      </c>
      <c r="H20" s="4">
        <v>6</v>
      </c>
      <c r="I20" s="4">
        <v>10</v>
      </c>
      <c r="J20" s="4">
        <v>6</v>
      </c>
      <c r="K20" s="4">
        <v>21</v>
      </c>
      <c r="L20" s="4">
        <v>-3</v>
      </c>
      <c r="M20" s="4">
        <f t="shared" ref="M20:O20" si="27">+M19*0.3</f>
        <v>-60.749999999999979</v>
      </c>
      <c r="N20" s="4">
        <f t="shared" si="27"/>
        <v>-55.942079999999983</v>
      </c>
      <c r="O20" s="4">
        <f t="shared" si="27"/>
        <v>-49.164030059999988</v>
      </c>
      <c r="Q20" s="4">
        <v>-16</v>
      </c>
      <c r="R20" s="4">
        <v>18</v>
      </c>
      <c r="S20" s="4">
        <v>50</v>
      </c>
      <c r="T20" s="4">
        <v>43</v>
      </c>
      <c r="U20" s="4">
        <f>+SUM(L20:O20)</f>
        <v>-168.85611005999993</v>
      </c>
    </row>
    <row r="21" spans="1:21" s="2" customFormat="1" x14ac:dyDescent="0.2">
      <c r="A21" s="2" t="s">
        <v>16</v>
      </c>
      <c r="B21" s="3">
        <f t="shared" ref="B21:K21" si="28">+B19-B20</f>
        <v>-26</v>
      </c>
      <c r="C21" s="3">
        <f t="shared" si="28"/>
        <v>-53</v>
      </c>
      <c r="D21" s="3">
        <f t="shared" si="28"/>
        <v>-60</v>
      </c>
      <c r="E21" s="3">
        <f t="shared" si="28"/>
        <v>-7</v>
      </c>
      <c r="F21" s="3">
        <f t="shared" si="28"/>
        <v>-45</v>
      </c>
      <c r="G21" s="3">
        <f t="shared" si="28"/>
        <v>30</v>
      </c>
      <c r="H21" s="3">
        <f t="shared" si="28"/>
        <v>-79</v>
      </c>
      <c r="I21" s="3">
        <f t="shared" si="28"/>
        <v>-28</v>
      </c>
      <c r="J21" s="3">
        <f t="shared" si="28"/>
        <v>17</v>
      </c>
      <c r="K21" s="3">
        <f t="shared" si="28"/>
        <v>63</v>
      </c>
      <c r="L21" s="3">
        <f t="shared" ref="L21" si="29">+L19-L20</f>
        <v>-218</v>
      </c>
      <c r="M21" s="3">
        <f t="shared" ref="M21" si="30">+M19-M20</f>
        <v>-141.74999999999997</v>
      </c>
      <c r="N21" s="3">
        <f t="shared" ref="N21" si="31">+N19-N20</f>
        <v>-130.53151999999997</v>
      </c>
      <c r="O21" s="3">
        <f t="shared" ref="O21" si="32">+O19-O20</f>
        <v>-114.71607013999997</v>
      </c>
      <c r="Q21" s="3">
        <f>+Q19-Q20</f>
        <v>-196</v>
      </c>
      <c r="R21" s="3">
        <f>+R19-R20</f>
        <v>-75</v>
      </c>
      <c r="S21" s="3">
        <f>+S19-S20</f>
        <v>-82</v>
      </c>
      <c r="T21" s="3">
        <f>+T19-T20</f>
        <v>-27</v>
      </c>
      <c r="U21" s="3">
        <f>+U19-U20</f>
        <v>-604.99759013999983</v>
      </c>
    </row>
    <row r="22" spans="1:21" x14ac:dyDescent="0.2">
      <c r="A22" t="s">
        <v>17</v>
      </c>
      <c r="B22" s="5">
        <f t="shared" ref="B22:K22" si="33">+B21/B23</f>
        <v>-3.4666666666666665E-2</v>
      </c>
      <c r="C22" s="5">
        <f t="shared" si="33"/>
        <v>-7.0666666666666669E-2</v>
      </c>
      <c r="D22" s="5">
        <f t="shared" si="33"/>
        <v>-0.08</v>
      </c>
      <c r="E22" s="5">
        <f t="shared" si="33"/>
        <v>-9.3333333333333341E-3</v>
      </c>
      <c r="F22" s="5">
        <f t="shared" si="33"/>
        <v>-0.06</v>
      </c>
      <c r="G22" s="5">
        <f t="shared" si="33"/>
        <v>0.04</v>
      </c>
      <c r="H22" s="5">
        <f t="shared" si="33"/>
        <v>-9.8503740648379051E-2</v>
      </c>
      <c r="I22" s="5">
        <f t="shared" si="33"/>
        <v>-3.4782608695652174E-2</v>
      </c>
      <c r="J22" s="5">
        <f t="shared" si="33"/>
        <v>2.1118012422360249E-2</v>
      </c>
      <c r="K22" s="5">
        <f t="shared" si="33"/>
        <v>7.8260869565217397E-2</v>
      </c>
      <c r="L22" s="5">
        <f t="shared" ref="L22" si="34">+L21/L23</f>
        <v>-0.27047146401985112</v>
      </c>
      <c r="M22" s="4">
        <f t="shared" ref="M22" si="35">+M21/M23</f>
        <v>-0.17499999999999996</v>
      </c>
      <c r="N22" s="4">
        <f t="shared" ref="N22" si="36">+N21/N23</f>
        <v>-0.161150024691358</v>
      </c>
      <c r="O22" s="4">
        <f t="shared" ref="O22" si="37">+O21/O23</f>
        <v>-0.14162477795061726</v>
      </c>
      <c r="Q22" s="5">
        <f>+Q21/Q23</f>
        <v>-0.26133333333333331</v>
      </c>
      <c r="R22" s="5">
        <f>+R21/R23</f>
        <v>-0.1</v>
      </c>
      <c r="S22" s="5">
        <f>+S21/S23</f>
        <v>-0.10933333333333334</v>
      </c>
      <c r="T22" s="5">
        <f>+T21/T23</f>
        <v>-3.5999999999999997E-2</v>
      </c>
      <c r="U22" s="5">
        <f>+U21/U23</f>
        <v>-0.74691060511111085</v>
      </c>
    </row>
    <row r="23" spans="1:21" x14ac:dyDescent="0.2">
      <c r="A23" t="s">
        <v>18</v>
      </c>
      <c r="B23" s="4">
        <v>750</v>
      </c>
      <c r="C23" s="4">
        <v>750</v>
      </c>
      <c r="D23" s="4">
        <v>750</v>
      </c>
      <c r="E23" s="4">
        <v>750</v>
      </c>
      <c r="F23" s="4">
        <v>750</v>
      </c>
      <c r="G23" s="4">
        <v>750</v>
      </c>
      <c r="H23" s="4">
        <v>802</v>
      </c>
      <c r="I23" s="4">
        <v>805</v>
      </c>
      <c r="J23" s="4">
        <v>805</v>
      </c>
      <c r="K23" s="4">
        <v>805</v>
      </c>
      <c r="L23" s="4">
        <v>806</v>
      </c>
      <c r="M23" s="4">
        <v>810</v>
      </c>
      <c r="N23" s="4">
        <v>810</v>
      </c>
      <c r="O23" s="4">
        <v>810</v>
      </c>
      <c r="Q23" s="4">
        <v>750</v>
      </c>
      <c r="R23" s="4">
        <v>750</v>
      </c>
      <c r="S23" s="4">
        <v>750</v>
      </c>
      <c r="T23" s="4">
        <v>750</v>
      </c>
      <c r="U23" s="4">
        <f>+O23</f>
        <v>810</v>
      </c>
    </row>
    <row r="24" spans="1:21" x14ac:dyDescent="0.2">
      <c r="B24" s="4"/>
      <c r="C24" s="4"/>
      <c r="Q24" s="4"/>
      <c r="R24" s="4"/>
      <c r="S24" s="4"/>
      <c r="T24" s="4"/>
    </row>
    <row r="25" spans="1:21" s="6" customFormat="1" x14ac:dyDescent="0.2">
      <c r="A25" s="6" t="s">
        <v>27</v>
      </c>
      <c r="B25" s="6">
        <f t="shared" ref="B25:K25" si="38">+B10/B8</f>
        <v>0.46932515337423314</v>
      </c>
      <c r="C25" s="6">
        <f t="shared" si="38"/>
        <v>0.43258426966292135</v>
      </c>
      <c r="D25" s="6">
        <f t="shared" si="38"/>
        <v>0.4467005076142132</v>
      </c>
      <c r="E25" s="6">
        <f t="shared" si="38"/>
        <v>0.49782608695652175</v>
      </c>
      <c r="F25" s="6">
        <f t="shared" si="38"/>
        <v>0.48222222222222222</v>
      </c>
      <c r="G25" s="6">
        <f t="shared" si="38"/>
        <v>0.53097345132743368</v>
      </c>
      <c r="H25" s="6">
        <f t="shared" si="38"/>
        <v>0.45196506550218341</v>
      </c>
      <c r="I25" s="6">
        <f t="shared" si="38"/>
        <v>0.4933920704845815</v>
      </c>
      <c r="J25" s="6">
        <f t="shared" si="38"/>
        <v>0.51320754716981132</v>
      </c>
      <c r="K25" s="6">
        <f t="shared" si="38"/>
        <v>0.5400313971742543</v>
      </c>
      <c r="L25" s="12">
        <f t="shared" ref="L25:O25" si="39">+L10/L8</f>
        <v>0.22594142259414227</v>
      </c>
      <c r="M25" s="4">
        <f t="shared" si="39"/>
        <v>0.25819386331938649</v>
      </c>
      <c r="N25" s="4">
        <f t="shared" si="39"/>
        <v>0.28910245234774545</v>
      </c>
      <c r="O25" s="4">
        <f t="shared" si="39"/>
        <v>0.31872318349992285</v>
      </c>
      <c r="Q25" s="6">
        <f>+Q10/Q8</f>
        <v>0.38883143743536713</v>
      </c>
      <c r="R25" s="6">
        <f>+R10/R8</f>
        <v>0.4725829725829726</v>
      </c>
      <c r="S25" s="6">
        <f>+S10/S8</f>
        <v>0.49331193151417868</v>
      </c>
      <c r="T25" s="6">
        <f>+T10/T8</f>
        <v>0.50360750360750361</v>
      </c>
      <c r="U25" s="6">
        <f>+U10/U8</f>
        <v>0.27996185749739683</v>
      </c>
    </row>
    <row r="26" spans="1:21" s="6" customFormat="1" x14ac:dyDescent="0.2">
      <c r="A26" s="6" t="s">
        <v>28</v>
      </c>
      <c r="B26" s="6">
        <f t="shared" ref="B26:K26" si="40">+B15/B8</f>
        <v>-6.1349693251533742E-2</v>
      </c>
      <c r="C26" s="6">
        <f t="shared" si="40"/>
        <v>-0.12359550561797752</v>
      </c>
      <c r="D26" s="6">
        <f t="shared" si="40"/>
        <v>-0.116751269035533</v>
      </c>
      <c r="E26" s="6">
        <f t="shared" si="40"/>
        <v>2.1739130434782608E-2</v>
      </c>
      <c r="F26" s="6">
        <f t="shared" si="40"/>
        <v>-5.5555555555555552E-2</v>
      </c>
      <c r="G26" s="6">
        <f t="shared" si="40"/>
        <v>4.247787610619469E-2</v>
      </c>
      <c r="H26" s="6">
        <f t="shared" si="40"/>
        <v>-0.17685589519650655</v>
      </c>
      <c r="I26" s="6">
        <f t="shared" si="40"/>
        <v>-7.268722466960352E-2</v>
      </c>
      <c r="J26" s="6">
        <f t="shared" si="40"/>
        <v>1.509433962264151E-2</v>
      </c>
      <c r="K26" s="6">
        <f t="shared" si="40"/>
        <v>0.11459968602825746</v>
      </c>
      <c r="L26" s="12">
        <f t="shared" ref="L26:O26" si="41">+L15/L8</f>
        <v>-0.99581589958159</v>
      </c>
      <c r="M26" s="4">
        <f t="shared" si="41"/>
        <v>-0.78706415620641534</v>
      </c>
      <c r="N26" s="4">
        <f t="shared" si="41"/>
        <v>-0.60520135983263579</v>
      </c>
      <c r="O26" s="4">
        <f t="shared" si="41"/>
        <v>-0.44646696546180059</v>
      </c>
      <c r="Q26" s="6">
        <f>+Q15/Q8</f>
        <v>-0.22026887280248189</v>
      </c>
      <c r="R26" s="6">
        <f>+R15/R8</f>
        <v>-4.1125541125541128E-2</v>
      </c>
      <c r="S26" s="6">
        <f>+S15/S8</f>
        <v>-1.9796682718031033E-2</v>
      </c>
      <c r="T26" s="6">
        <f>+T15/T8</f>
        <v>-1.5873015873015872E-2</v>
      </c>
      <c r="U26" s="6">
        <f>+U15/U8</f>
        <v>-0.66752566346987252</v>
      </c>
    </row>
    <row r="27" spans="1:21" s="6" customFormat="1" x14ac:dyDescent="0.2">
      <c r="A27" s="6" t="s">
        <v>29</v>
      </c>
      <c r="B27" s="6">
        <f t="shared" ref="B27:K27" si="42">+B21/B8</f>
        <v>-7.9754601226993863E-2</v>
      </c>
      <c r="C27" s="6">
        <f t="shared" si="42"/>
        <v>-0.14887640449438203</v>
      </c>
      <c r="D27" s="6">
        <f t="shared" si="42"/>
        <v>-0.15228426395939088</v>
      </c>
      <c r="E27" s="6">
        <f t="shared" si="42"/>
        <v>-1.5217391304347827E-2</v>
      </c>
      <c r="F27" s="6">
        <f t="shared" si="42"/>
        <v>-0.1</v>
      </c>
      <c r="G27" s="6">
        <f t="shared" si="42"/>
        <v>5.3097345132743362E-2</v>
      </c>
      <c r="H27" s="6">
        <f t="shared" si="42"/>
        <v>-0.17248908296943233</v>
      </c>
      <c r="I27" s="6">
        <f t="shared" si="42"/>
        <v>-6.1674008810572688E-2</v>
      </c>
      <c r="J27" s="6">
        <f t="shared" si="42"/>
        <v>3.2075471698113207E-2</v>
      </c>
      <c r="K27" s="6">
        <f t="shared" si="42"/>
        <v>9.8901098901098897E-2</v>
      </c>
      <c r="L27" s="12">
        <f t="shared" ref="L27:O27" si="43">+L21/L8</f>
        <v>-0.91213389121338917</v>
      </c>
      <c r="M27" s="4">
        <f t="shared" si="43"/>
        <v>-0.49424686192468609</v>
      </c>
      <c r="N27" s="4">
        <f t="shared" si="43"/>
        <v>-0.37927568572756848</v>
      </c>
      <c r="O27" s="4">
        <f t="shared" si="43"/>
        <v>-0.27776826219394074</v>
      </c>
      <c r="Q27" s="6">
        <f>+Q21/Q8</f>
        <v>-0.20268872802481902</v>
      </c>
      <c r="R27" s="6">
        <f>+R21/R8</f>
        <v>-5.4112554112554112E-2</v>
      </c>
      <c r="S27" s="6">
        <f>+S21/S8</f>
        <v>-4.3873729266987696E-2</v>
      </c>
      <c r="T27" s="6">
        <f>+T21/T8</f>
        <v>-1.2987012987012988E-2</v>
      </c>
      <c r="U27" s="6">
        <f>+U21/U8</f>
        <v>-0.47156681632672137</v>
      </c>
    </row>
    <row r="28" spans="1:21" s="6" customFormat="1" x14ac:dyDescent="0.2">
      <c r="A28" s="6" t="s">
        <v>30</v>
      </c>
      <c r="B28" s="6">
        <f t="shared" ref="B28:K28" si="44">+B20/B19</f>
        <v>-0.3</v>
      </c>
      <c r="C28" s="6">
        <f t="shared" si="44"/>
        <v>-0.15217391304347827</v>
      </c>
      <c r="D28" s="6">
        <f t="shared" si="44"/>
        <v>-0.36363636363636365</v>
      </c>
      <c r="E28" s="6">
        <f t="shared" si="44"/>
        <v>1.875</v>
      </c>
      <c r="F28" s="6">
        <f t="shared" si="44"/>
        <v>-0.5</v>
      </c>
      <c r="G28" s="6">
        <f t="shared" si="44"/>
        <v>0.11764705882352941</v>
      </c>
      <c r="H28" s="6">
        <f t="shared" si="44"/>
        <v>-8.2191780821917804E-2</v>
      </c>
      <c r="I28" s="6">
        <f t="shared" si="44"/>
        <v>-0.55555555555555558</v>
      </c>
      <c r="J28" s="6">
        <f t="shared" si="44"/>
        <v>0.2608695652173913</v>
      </c>
      <c r="K28" s="6">
        <f t="shared" si="44"/>
        <v>0.25</v>
      </c>
      <c r="L28" s="12">
        <f t="shared" ref="L28:O28" si="45">+L20/L19</f>
        <v>1.3574660633484163E-2</v>
      </c>
      <c r="M28" s="4">
        <f t="shared" si="45"/>
        <v>0.3</v>
      </c>
      <c r="N28" s="4">
        <f t="shared" si="45"/>
        <v>0.3</v>
      </c>
      <c r="O28" s="4">
        <f t="shared" si="45"/>
        <v>0.3</v>
      </c>
      <c r="Q28" s="6">
        <f>+Q20/Q19</f>
        <v>7.5471698113207544E-2</v>
      </c>
      <c r="R28" s="6">
        <f>+R20/R19</f>
        <v>-0.31578947368421051</v>
      </c>
      <c r="S28" s="6">
        <f>+S20/S19</f>
        <v>-1.5625</v>
      </c>
      <c r="T28" s="6">
        <f>+T20/T19</f>
        <v>2.6875</v>
      </c>
      <c r="U28" s="6">
        <f>+U20/U19</f>
        <v>0.21820159290620392</v>
      </c>
    </row>
    <row r="30" spans="1:21" s="9" customFormat="1" x14ac:dyDescent="0.2">
      <c r="A30" s="9" t="s">
        <v>37</v>
      </c>
      <c r="F30" s="9">
        <f t="shared" ref="F30:J30" si="46">+F8/B8-1</f>
        <v>0.38036809815950923</v>
      </c>
      <c r="G30" s="9">
        <f t="shared" si="46"/>
        <v>0.58707865168539319</v>
      </c>
      <c r="H30" s="9">
        <f t="shared" si="46"/>
        <v>0.1624365482233503</v>
      </c>
      <c r="I30" s="9">
        <f t="shared" si="46"/>
        <v>-1.3043478260869601E-2</v>
      </c>
      <c r="J30" s="9">
        <f t="shared" si="46"/>
        <v>0.17777777777777781</v>
      </c>
      <c r="K30" s="9">
        <f>+K8/G8-1</f>
        <v>0.12743362831858418</v>
      </c>
      <c r="L30" s="9">
        <f>+L8/H8-1</f>
        <v>-0.47816593886462877</v>
      </c>
      <c r="M30" s="3"/>
      <c r="N30" s="3"/>
      <c r="O30" s="3"/>
      <c r="R30" s="9">
        <f t="shared" ref="R30:S30" si="47">+R8/Q8-1</f>
        <v>0.43329886246122018</v>
      </c>
      <c r="S30" s="9">
        <f t="shared" si="47"/>
        <v>0.3484848484848484</v>
      </c>
      <c r="T30" s="9">
        <f>+T8/S8-1</f>
        <v>0.11235955056179781</v>
      </c>
      <c r="U30" s="9">
        <f>+U8/T8-1</f>
        <v>-0.38289947089947085</v>
      </c>
    </row>
    <row r="32" spans="1:21" x14ac:dyDescent="0.2">
      <c r="A32" s="6" t="s">
        <v>38</v>
      </c>
    </row>
    <row r="33" spans="1:15" x14ac:dyDescent="0.2">
      <c r="A33" t="s">
        <v>39</v>
      </c>
      <c r="C33" s="4">
        <v>616</v>
      </c>
      <c r="F33" s="4">
        <v>871</v>
      </c>
      <c r="G33" s="4">
        <v>1024</v>
      </c>
      <c r="H33" s="4">
        <v>1161</v>
      </c>
      <c r="I33" s="4">
        <v>1142</v>
      </c>
      <c r="J33" s="4">
        <v>1193</v>
      </c>
      <c r="K33" s="4">
        <v>1212</v>
      </c>
      <c r="L33" s="4">
        <v>1223</v>
      </c>
      <c r="M33" s="4">
        <f t="shared" ref="M33:O33" si="48">+L33+M21</f>
        <v>1081.25</v>
      </c>
      <c r="N33" s="4">
        <f t="shared" si="48"/>
        <v>950.71848</v>
      </c>
      <c r="O33" s="4">
        <f t="shared" si="48"/>
        <v>836.00240986000006</v>
      </c>
    </row>
    <row r="34" spans="1:15" x14ac:dyDescent="0.2">
      <c r="A34" s="6" t="s">
        <v>40</v>
      </c>
      <c r="C34" s="4">
        <v>155</v>
      </c>
      <c r="F34" s="4">
        <v>222</v>
      </c>
      <c r="G34" s="4">
        <v>269</v>
      </c>
      <c r="H34" s="4">
        <v>239</v>
      </c>
      <c r="I34" s="4">
        <v>240</v>
      </c>
      <c r="J34" s="4">
        <v>281</v>
      </c>
      <c r="K34" s="4">
        <v>357</v>
      </c>
      <c r="L34" s="4">
        <v>120</v>
      </c>
    </row>
    <row r="35" spans="1:15" x14ac:dyDescent="0.2">
      <c r="A35" t="s">
        <v>41</v>
      </c>
      <c r="C35" s="4">
        <v>97</v>
      </c>
      <c r="F35" s="4">
        <v>105</v>
      </c>
      <c r="G35" s="4">
        <v>113</v>
      </c>
      <c r="H35" s="4">
        <v>173</v>
      </c>
      <c r="I35" s="4">
        <v>263</v>
      </c>
      <c r="J35" s="4">
        <v>354</v>
      </c>
      <c r="K35" s="4">
        <v>391</v>
      </c>
      <c r="L35" s="4">
        <v>456</v>
      </c>
    </row>
    <row r="36" spans="1:15" x14ac:dyDescent="0.2">
      <c r="A36" s="6" t="s">
        <v>57</v>
      </c>
      <c r="C36" s="4">
        <v>1326</v>
      </c>
      <c r="F36" s="4">
        <v>901</v>
      </c>
    </row>
    <row r="37" spans="1:15" x14ac:dyDescent="0.2">
      <c r="A37" s="6" t="s">
        <v>42</v>
      </c>
      <c r="C37" s="4">
        <v>76</v>
      </c>
      <c r="F37" s="4">
        <v>63</v>
      </c>
      <c r="G37" s="4">
        <v>110</v>
      </c>
      <c r="H37" s="4">
        <v>82</v>
      </c>
      <c r="I37" s="4">
        <v>72</v>
      </c>
      <c r="J37" s="4">
        <v>80</v>
      </c>
      <c r="K37" s="4">
        <v>106</v>
      </c>
      <c r="L37" s="4">
        <v>132</v>
      </c>
    </row>
    <row r="38" spans="1:15" x14ac:dyDescent="0.2">
      <c r="A38" t="s">
        <v>43</v>
      </c>
      <c r="C38" s="4">
        <v>304</v>
      </c>
      <c r="F38" s="4">
        <v>354</v>
      </c>
      <c r="G38" s="4">
        <v>384</v>
      </c>
      <c r="H38" s="4">
        <v>401</v>
      </c>
      <c r="I38" s="4">
        <v>422</v>
      </c>
      <c r="J38" s="4">
        <v>426</v>
      </c>
      <c r="K38" s="4">
        <v>447</v>
      </c>
      <c r="L38" s="4">
        <v>454</v>
      </c>
    </row>
    <row r="39" spans="1:15" x14ac:dyDescent="0.2">
      <c r="A39" s="6" t="s">
        <v>44</v>
      </c>
      <c r="C39" s="4">
        <f>3071+10895</f>
        <v>13966</v>
      </c>
      <c r="F39" s="4">
        <f>2658+10895</f>
        <v>13553</v>
      </c>
      <c r="G39" s="4">
        <f>2527+10895</f>
        <v>13422</v>
      </c>
      <c r="H39" s="4">
        <f>2394+10895</f>
        <v>13289</v>
      </c>
      <c r="I39" s="4">
        <f>2276+10895</f>
        <v>13171</v>
      </c>
      <c r="J39" s="4">
        <f>2165+10895</f>
        <v>13060</v>
      </c>
      <c r="K39" s="4">
        <f>2053+10895</f>
        <v>12948</v>
      </c>
      <c r="L39" s="4">
        <f>1942+10895</f>
        <v>12837</v>
      </c>
    </row>
    <row r="40" spans="1:15" x14ac:dyDescent="0.2">
      <c r="A40" t="s">
        <v>45</v>
      </c>
      <c r="C40" s="4">
        <v>115</v>
      </c>
      <c r="F40" s="4">
        <v>95</v>
      </c>
      <c r="G40" s="4">
        <v>119</v>
      </c>
      <c r="H40" s="4">
        <v>117</v>
      </c>
      <c r="I40" s="4">
        <v>120</v>
      </c>
      <c r="J40" s="4">
        <v>111</v>
      </c>
      <c r="K40" s="4">
        <v>116</v>
      </c>
      <c r="L40" s="4">
        <v>120</v>
      </c>
    </row>
    <row r="41" spans="1:15" s="2" customFormat="1" x14ac:dyDescent="0.2">
      <c r="A41" s="9" t="s">
        <v>46</v>
      </c>
      <c r="C41" s="3">
        <f>SUM(C33:C40)</f>
        <v>16655</v>
      </c>
      <c r="D41" s="3"/>
      <c r="E41" s="3"/>
      <c r="F41" s="3">
        <f t="shared" ref="F41:L41" si="49">SUM(F33:F40)</f>
        <v>16164</v>
      </c>
      <c r="G41" s="3">
        <f t="shared" si="49"/>
        <v>15441</v>
      </c>
      <c r="H41" s="3">
        <f t="shared" si="49"/>
        <v>15462</v>
      </c>
      <c r="I41" s="3">
        <f t="shared" si="49"/>
        <v>15430</v>
      </c>
      <c r="J41" s="3">
        <f t="shared" si="49"/>
        <v>15505</v>
      </c>
      <c r="K41" s="3">
        <f t="shared" si="49"/>
        <v>15577</v>
      </c>
      <c r="L41" s="3">
        <f t="shared" si="49"/>
        <v>15342</v>
      </c>
      <c r="M41" s="3"/>
      <c r="N41" s="3"/>
      <c r="O41" s="3"/>
    </row>
    <row r="42" spans="1:15" x14ac:dyDescent="0.2">
      <c r="A42" t="s">
        <v>47</v>
      </c>
      <c r="C42" s="4">
        <v>160</v>
      </c>
      <c r="F42" s="4">
        <v>160</v>
      </c>
      <c r="G42" s="4">
        <v>189</v>
      </c>
      <c r="H42" s="4">
        <v>208</v>
      </c>
      <c r="I42" s="4">
        <v>208</v>
      </c>
      <c r="J42" s="4">
        <v>221</v>
      </c>
      <c r="K42" s="4">
        <v>229</v>
      </c>
      <c r="L42" s="4">
        <v>166</v>
      </c>
    </row>
    <row r="43" spans="1:15" x14ac:dyDescent="0.2">
      <c r="A43" s="6" t="s">
        <v>48</v>
      </c>
      <c r="C43" s="4">
        <v>102</v>
      </c>
      <c r="F43" s="4">
        <v>75</v>
      </c>
      <c r="G43" s="4">
        <v>88</v>
      </c>
      <c r="H43" s="4">
        <v>94</v>
      </c>
      <c r="I43" s="4">
        <v>87</v>
      </c>
      <c r="J43" s="4">
        <v>79</v>
      </c>
      <c r="K43" s="4">
        <v>87</v>
      </c>
      <c r="L43" s="4">
        <v>91</v>
      </c>
    </row>
    <row r="44" spans="1:15" x14ac:dyDescent="0.2">
      <c r="A44" t="s">
        <v>49</v>
      </c>
      <c r="C44" s="4">
        <v>163</v>
      </c>
      <c r="F44" s="4">
        <f>966+3520</f>
        <v>4486</v>
      </c>
      <c r="G44" s="4">
        <v>73</v>
      </c>
      <c r="H44" s="4">
        <v>80</v>
      </c>
      <c r="I44" s="4">
        <v>54</v>
      </c>
      <c r="J44" s="4">
        <v>44</v>
      </c>
      <c r="K44" s="4">
        <v>39</v>
      </c>
      <c r="L44" s="4">
        <v>39</v>
      </c>
    </row>
    <row r="45" spans="1:15" x14ac:dyDescent="0.2">
      <c r="A45" s="6" t="s">
        <v>50</v>
      </c>
      <c r="C45" s="4">
        <v>49</v>
      </c>
      <c r="F45" s="4">
        <v>59</v>
      </c>
      <c r="G45" s="4">
        <v>34</v>
      </c>
      <c r="H45" s="4">
        <v>36</v>
      </c>
      <c r="I45" s="4">
        <v>32</v>
      </c>
      <c r="J45" s="4">
        <v>47</v>
      </c>
      <c r="K45" s="4">
        <v>48</v>
      </c>
      <c r="L45" s="4">
        <v>33</v>
      </c>
    </row>
    <row r="46" spans="1:15" x14ac:dyDescent="0.2">
      <c r="A46" t="s">
        <v>51</v>
      </c>
      <c r="C46" s="4">
        <v>94</v>
      </c>
      <c r="F46" s="4">
        <v>54</v>
      </c>
      <c r="G46" s="4">
        <v>56</v>
      </c>
      <c r="H46" s="4">
        <v>54</v>
      </c>
      <c r="I46" s="4">
        <v>55</v>
      </c>
      <c r="J46" s="4">
        <v>53</v>
      </c>
      <c r="K46" s="4">
        <v>56</v>
      </c>
      <c r="L46" s="4">
        <v>57</v>
      </c>
    </row>
    <row r="47" spans="1:15" x14ac:dyDescent="0.2">
      <c r="A47" s="6" t="s">
        <v>52</v>
      </c>
      <c r="C47" s="4">
        <v>181</v>
      </c>
      <c r="F47" s="4">
        <v>162</v>
      </c>
      <c r="G47" s="4">
        <v>162</v>
      </c>
      <c r="H47" s="4">
        <v>159</v>
      </c>
      <c r="I47" s="4">
        <v>152</v>
      </c>
      <c r="J47" s="4">
        <v>149</v>
      </c>
      <c r="K47" s="4">
        <v>148</v>
      </c>
      <c r="L47" s="4">
        <v>142</v>
      </c>
    </row>
    <row r="48" spans="1:15" x14ac:dyDescent="0.2">
      <c r="A48" t="s">
        <v>53</v>
      </c>
      <c r="C48" s="4">
        <v>17</v>
      </c>
      <c r="F48" s="4">
        <v>8</v>
      </c>
      <c r="G48" s="4">
        <v>45</v>
      </c>
      <c r="H48" s="4">
        <v>44</v>
      </c>
      <c r="I48" s="4">
        <v>42</v>
      </c>
      <c r="J48" s="4">
        <v>39</v>
      </c>
      <c r="K48" s="4">
        <v>46</v>
      </c>
      <c r="L48" s="4">
        <v>51</v>
      </c>
    </row>
    <row r="49" spans="1:15" s="2" customFormat="1" x14ac:dyDescent="0.2">
      <c r="A49" s="9" t="s">
        <v>56</v>
      </c>
      <c r="C49" s="3">
        <f>SUM(C42:C48)</f>
        <v>766</v>
      </c>
      <c r="D49" s="3"/>
      <c r="E49" s="3"/>
      <c r="F49" s="3">
        <f t="shared" ref="F49:K49" si="50">SUM(F42:F48)</f>
        <v>5004</v>
      </c>
      <c r="G49" s="3">
        <f t="shared" si="50"/>
        <v>647</v>
      </c>
      <c r="H49" s="3">
        <f t="shared" si="50"/>
        <v>675</v>
      </c>
      <c r="I49" s="3">
        <f t="shared" si="50"/>
        <v>630</v>
      </c>
      <c r="J49" s="3">
        <f t="shared" si="50"/>
        <v>632</v>
      </c>
      <c r="K49" s="3">
        <f t="shared" si="50"/>
        <v>653</v>
      </c>
      <c r="L49" s="3">
        <f t="shared" ref="L49" si="51">SUM(L42:L48)</f>
        <v>579</v>
      </c>
      <c r="M49" s="3"/>
      <c r="N49" s="3"/>
      <c r="O49" s="3"/>
    </row>
    <row r="50" spans="1:15" x14ac:dyDescent="0.2">
      <c r="A50" s="6" t="s">
        <v>54</v>
      </c>
      <c r="C50" s="4">
        <f>+C41-C49</f>
        <v>15889</v>
      </c>
      <c r="F50" s="4">
        <f t="shared" ref="F50:K50" si="52">+F41-F49</f>
        <v>11160</v>
      </c>
      <c r="G50" s="4">
        <f t="shared" si="52"/>
        <v>14794</v>
      </c>
      <c r="H50" s="4">
        <f t="shared" si="52"/>
        <v>14787</v>
      </c>
      <c r="I50" s="4">
        <f t="shared" si="52"/>
        <v>14800</v>
      </c>
      <c r="J50" s="4">
        <f t="shared" si="52"/>
        <v>14873</v>
      </c>
      <c r="K50" s="4">
        <f t="shared" si="52"/>
        <v>14924</v>
      </c>
      <c r="L50" s="4">
        <f t="shared" ref="L50" si="53">+L41-L49</f>
        <v>14763</v>
      </c>
    </row>
    <row r="51" spans="1:15" x14ac:dyDescent="0.2">
      <c r="A51" t="s">
        <v>55</v>
      </c>
      <c r="C51" s="4">
        <f>+C50+C49</f>
        <v>16655</v>
      </c>
      <c r="F51" s="4">
        <f t="shared" ref="F51:K51" si="54">+F50+F49</f>
        <v>16164</v>
      </c>
      <c r="G51" s="4">
        <f t="shared" si="54"/>
        <v>15441</v>
      </c>
      <c r="H51" s="4">
        <f t="shared" si="54"/>
        <v>15462</v>
      </c>
      <c r="I51" s="4">
        <f t="shared" si="54"/>
        <v>15430</v>
      </c>
      <c r="J51" s="4">
        <f t="shared" si="54"/>
        <v>15505</v>
      </c>
      <c r="K51" s="4">
        <f t="shared" si="54"/>
        <v>15577</v>
      </c>
      <c r="L51" s="4">
        <f t="shared" ref="L51" si="55">+L50+L49</f>
        <v>15342</v>
      </c>
    </row>
    <row r="53" spans="1:15" x14ac:dyDescent="0.2">
      <c r="A53" t="s">
        <v>58</v>
      </c>
      <c r="D53" s="4">
        <f t="shared" ref="D53:K53" si="56">+D21</f>
        <v>-60</v>
      </c>
      <c r="E53" s="4">
        <f t="shared" si="56"/>
        <v>-7</v>
      </c>
      <c r="F53" s="4">
        <f t="shared" si="56"/>
        <v>-45</v>
      </c>
      <c r="G53" s="4">
        <f t="shared" si="56"/>
        <v>30</v>
      </c>
      <c r="H53" s="4">
        <f t="shared" si="56"/>
        <v>-79</v>
      </c>
      <c r="I53" s="4">
        <f t="shared" si="56"/>
        <v>-28</v>
      </c>
      <c r="J53" s="4">
        <f t="shared" si="56"/>
        <v>17</v>
      </c>
      <c r="K53" s="4">
        <f t="shared" si="56"/>
        <v>63</v>
      </c>
      <c r="L53" s="4">
        <f>+L21</f>
        <v>-218</v>
      </c>
    </row>
    <row r="54" spans="1:15" x14ac:dyDescent="0.2">
      <c r="A54" t="s">
        <v>59</v>
      </c>
      <c r="D54" s="4">
        <v>-60</v>
      </c>
      <c r="E54" s="4">
        <f>-67-SUM(D54)</f>
        <v>-7</v>
      </c>
      <c r="F54" s="4">
        <f>-112-SUM(D54:E54)</f>
        <v>-45</v>
      </c>
      <c r="G54" s="4">
        <f>-82-SUM(D54:F54)</f>
        <v>30</v>
      </c>
      <c r="H54" s="4">
        <v>-79</v>
      </c>
      <c r="I54" s="4">
        <f>-107-SUM(H54)</f>
        <v>-28</v>
      </c>
      <c r="J54" s="4">
        <f>-90-SUM(H54:I54)</f>
        <v>17</v>
      </c>
      <c r="K54" s="4">
        <f>-27-SUM(H54:J54)</f>
        <v>63</v>
      </c>
      <c r="L54" s="4">
        <v>-218</v>
      </c>
    </row>
    <row r="55" spans="1:15" x14ac:dyDescent="0.2">
      <c r="A55" t="s">
        <v>60</v>
      </c>
      <c r="D55" s="4">
        <f>5+149</f>
        <v>154</v>
      </c>
      <c r="E55" s="4">
        <f>10+282-SUM(D55)</f>
        <v>138</v>
      </c>
      <c r="F55" s="4">
        <f>17+413-SUM(D55:E55)</f>
        <v>138</v>
      </c>
      <c r="G55" s="4">
        <f>23+544-SUM(D55:F55)</f>
        <v>137</v>
      </c>
      <c r="H55" s="4">
        <f>7+133</f>
        <v>140</v>
      </c>
      <c r="I55" s="4">
        <f>15+251-SUM(H55)</f>
        <v>126</v>
      </c>
      <c r="J55" s="4">
        <f>24+362-SUM(H55:I55)</f>
        <v>120</v>
      </c>
      <c r="K55" s="4">
        <f>39+474-SUM(H55:J55)</f>
        <v>127</v>
      </c>
      <c r="L55" s="4">
        <f>14+111</f>
        <v>125</v>
      </c>
    </row>
    <row r="56" spans="1:15" x14ac:dyDescent="0.2">
      <c r="A56" t="s">
        <v>61</v>
      </c>
      <c r="D56" s="4">
        <v>40</v>
      </c>
      <c r="E56" s="4">
        <f>76-SUM(D56)</f>
        <v>36</v>
      </c>
      <c r="F56" s="4">
        <f>112-SUM(D56:E56)</f>
        <v>36</v>
      </c>
      <c r="G56" s="4">
        <f>174-SUM(D56:F56)</f>
        <v>62</v>
      </c>
      <c r="H56" s="4">
        <v>72</v>
      </c>
      <c r="I56" s="4">
        <f>127-SUM(H56)</f>
        <v>55</v>
      </c>
      <c r="J56" s="4">
        <f>190-SUM(H56:I56)</f>
        <v>63</v>
      </c>
      <c r="K56" s="4">
        <f>252-SUM(H56:J56)</f>
        <v>62</v>
      </c>
      <c r="L56" s="4">
        <v>62</v>
      </c>
    </row>
    <row r="57" spans="1:15" x14ac:dyDescent="0.2">
      <c r="A57" t="s">
        <v>62</v>
      </c>
      <c r="D57" s="4">
        <v>0</v>
      </c>
      <c r="E57" s="4">
        <f>3-SUM(D57)</f>
        <v>3</v>
      </c>
      <c r="F57" s="4">
        <f>6-SUM(D57:E57)</f>
        <v>3</v>
      </c>
      <c r="G57" s="4">
        <f>6-SUM(D57:F57)</f>
        <v>0</v>
      </c>
      <c r="H57" s="4">
        <v>4</v>
      </c>
      <c r="I57" s="4">
        <f>5-SUM(H57)</f>
        <v>1</v>
      </c>
      <c r="J57" s="4">
        <f>9-SUM(H57:I57)</f>
        <v>4</v>
      </c>
      <c r="K57" s="4">
        <f>5-SUM(H57:J57)</f>
        <v>-4</v>
      </c>
      <c r="L57" s="4">
        <v>2</v>
      </c>
    </row>
    <row r="58" spans="1:15" x14ac:dyDescent="0.2">
      <c r="A58" t="s">
        <v>52</v>
      </c>
      <c r="D58" s="4">
        <v>-3</v>
      </c>
      <c r="E58" s="4">
        <f>2-SUM(D58)</f>
        <v>5</v>
      </c>
      <c r="F58" s="4">
        <f>-8-SUM(D58:E58)</f>
        <v>-10</v>
      </c>
      <c r="G58" s="4">
        <f>-9-SUM(D58:F58)</f>
        <v>-1</v>
      </c>
      <c r="H58" s="4">
        <v>-3</v>
      </c>
      <c r="I58" s="4">
        <f>-10-SUM(H58)</f>
        <v>-7</v>
      </c>
      <c r="J58" s="4">
        <f>-13-SUM(H58:I58)</f>
        <v>-3</v>
      </c>
      <c r="K58" s="4">
        <f>-14-SUM(H58:J58)</f>
        <v>-1</v>
      </c>
      <c r="L58" s="4">
        <v>-6</v>
      </c>
    </row>
    <row r="59" spans="1:15" x14ac:dyDescent="0.2">
      <c r="A59" t="s">
        <v>63</v>
      </c>
      <c r="D59" s="4">
        <v>-1</v>
      </c>
      <c r="E59" s="4">
        <f>9+27-SUM(D59)</f>
        <v>37</v>
      </c>
      <c r="F59" s="4">
        <f>20+20-SUM(D59:E59)</f>
        <v>4</v>
      </c>
      <c r="G59" s="4">
        <f>18+12-SUM(D59:F59)</f>
        <v>-10</v>
      </c>
      <c r="H59" s="4">
        <v>16</v>
      </c>
      <c r="I59" s="4">
        <f>16-SUM(H59)</f>
        <v>0</v>
      </c>
      <c r="J59" s="4">
        <f>16-SUM(H59:I59)</f>
        <v>0</v>
      </c>
      <c r="K59" s="4">
        <f>16-SUM(H59:J59)</f>
        <v>0</v>
      </c>
      <c r="L59" s="4">
        <v>0</v>
      </c>
    </row>
    <row r="60" spans="1:15" x14ac:dyDescent="0.2">
      <c r="A60" t="s">
        <v>13</v>
      </c>
      <c r="D60" s="4">
        <v>-1</v>
      </c>
      <c r="E60" s="4">
        <f>-3-SUM(D60)</f>
        <v>-2</v>
      </c>
      <c r="F60" s="4">
        <f>-3-SUM(D60:E60)</f>
        <v>0</v>
      </c>
      <c r="G60" s="4">
        <f>-2-SUM(D60:F60)</f>
        <v>1</v>
      </c>
      <c r="H60" s="4">
        <v>0</v>
      </c>
      <c r="I60" s="4">
        <v>0</v>
      </c>
      <c r="J60" s="4">
        <f>-1-SUM(H60:I60)</f>
        <v>-1</v>
      </c>
      <c r="K60" s="4">
        <f>1-SUM(H60:J60)</f>
        <v>2</v>
      </c>
      <c r="L60" s="4">
        <v>0</v>
      </c>
    </row>
    <row r="61" spans="1:15" x14ac:dyDescent="0.2">
      <c r="A61" t="s">
        <v>65</v>
      </c>
      <c r="D61" s="4">
        <f>+-30+14-13-21-23-1-1-3</f>
        <v>-78</v>
      </c>
      <c r="E61" s="4">
        <f>-59+29-1-5-81-3+17-3-SUM(D61)</f>
        <v>-28</v>
      </c>
      <c r="F61" s="4">
        <f>-67+28-8+22-67+10+15-3-SUM(D61:E61)</f>
        <v>36</v>
      </c>
      <c r="G61" s="4">
        <f>-114-10-16+58-52-16+17-5-SUM(D61:F61)</f>
        <v>-68</v>
      </c>
      <c r="H61" s="4">
        <f>30+14-60+29+4+2+2</f>
        <v>21</v>
      </c>
      <c r="I61" s="4">
        <f>29+21-150+3-2-2+1-SUM(H61)</f>
        <v>-121</v>
      </c>
      <c r="J61" s="4">
        <f>6+16-241+21-12-5+3-SUM(H61:I61)</f>
        <v>-112</v>
      </c>
      <c r="K61" s="4">
        <f>-88+8-278+10-1-7-3+7-SUM(H61:J61)</f>
        <v>-140</v>
      </c>
      <c r="L61" s="4">
        <f>216-25-65-62+5+6-2+2</f>
        <v>75</v>
      </c>
    </row>
    <row r="62" spans="1:15" s="2" customFormat="1" x14ac:dyDescent="0.2">
      <c r="A62" s="2" t="s">
        <v>64</v>
      </c>
      <c r="D62" s="3">
        <f t="shared" ref="D62:K62" si="57">+SUM(D54:D61)</f>
        <v>51</v>
      </c>
      <c r="E62" s="3">
        <f t="shared" si="57"/>
        <v>182</v>
      </c>
      <c r="F62" s="3">
        <f t="shared" si="57"/>
        <v>162</v>
      </c>
      <c r="G62" s="3">
        <f>+SUM(G54:G61)</f>
        <v>151</v>
      </c>
      <c r="H62" s="3">
        <f t="shared" si="57"/>
        <v>171</v>
      </c>
      <c r="I62" s="3">
        <f t="shared" si="57"/>
        <v>26</v>
      </c>
      <c r="J62" s="3">
        <f t="shared" si="57"/>
        <v>88</v>
      </c>
      <c r="K62" s="3">
        <f t="shared" si="57"/>
        <v>109</v>
      </c>
      <c r="L62" s="3">
        <f>+SUM(L54:L61)</f>
        <v>40</v>
      </c>
      <c r="M62" s="3"/>
      <c r="N62" s="3"/>
      <c r="O62" s="3"/>
    </row>
    <row r="64" spans="1:15" s="2" customFormat="1" x14ac:dyDescent="0.2">
      <c r="A64" s="2" t="s">
        <v>66</v>
      </c>
      <c r="D64" s="3">
        <v>-27</v>
      </c>
      <c r="E64" s="3">
        <f>-53-SUM(D64)</f>
        <v>-26</v>
      </c>
      <c r="F64" s="3">
        <f>-79-SUM(D64:E64)</f>
        <v>-26</v>
      </c>
      <c r="G64" s="3">
        <f>-111-SUM(D64:F64)</f>
        <v>-32</v>
      </c>
      <c r="H64" s="3">
        <v>-26</v>
      </c>
      <c r="I64" s="3">
        <f>-58-SUM(H64)</f>
        <v>-32</v>
      </c>
      <c r="J64" s="3">
        <f>-75-SUM(H64:I64)</f>
        <v>-17</v>
      </c>
      <c r="K64" s="3">
        <f>-98-SUM(H64:J64)</f>
        <v>-23</v>
      </c>
      <c r="L64" s="3">
        <v>-22</v>
      </c>
      <c r="M64" s="3"/>
      <c r="N64" s="3"/>
      <c r="O64" s="3"/>
    </row>
    <row r="65" spans="1:15" x14ac:dyDescent="0.2">
      <c r="A65" t="s">
        <v>67</v>
      </c>
      <c r="D65" s="4">
        <v>200</v>
      </c>
      <c r="E65" s="4">
        <f>733-336-SUM(D65)</f>
        <v>197</v>
      </c>
      <c r="F65" s="4">
        <f>734-336-SUM(D65:E65)</f>
        <v>1</v>
      </c>
      <c r="G65" s="4">
        <f>1635-336-1-SUM(D65:F65)</f>
        <v>900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5" s="14" customFormat="1" x14ac:dyDescent="0.2">
      <c r="A66" s="14" t="s">
        <v>68</v>
      </c>
      <c r="D66" s="15">
        <f t="shared" ref="D66:L66" si="58">SUM(D64:D65)</f>
        <v>173</v>
      </c>
      <c r="E66" s="15">
        <f t="shared" si="58"/>
        <v>171</v>
      </c>
      <c r="F66" s="15">
        <f t="shared" si="58"/>
        <v>-25</v>
      </c>
      <c r="G66" s="15">
        <f t="shared" si="58"/>
        <v>868</v>
      </c>
      <c r="H66" s="15">
        <f t="shared" si="58"/>
        <v>-26</v>
      </c>
      <c r="I66" s="15">
        <f t="shared" si="58"/>
        <v>-32</v>
      </c>
      <c r="J66" s="15">
        <f t="shared" si="58"/>
        <v>-17</v>
      </c>
      <c r="K66" s="15">
        <f t="shared" si="58"/>
        <v>-23</v>
      </c>
      <c r="L66" s="15">
        <f t="shared" si="58"/>
        <v>-22</v>
      </c>
      <c r="M66" s="15"/>
      <c r="N66" s="15"/>
      <c r="O66" s="15"/>
    </row>
    <row r="68" spans="1:15" x14ac:dyDescent="0.2">
      <c r="A68" t="s">
        <v>69</v>
      </c>
      <c r="D68" s="4">
        <v>102</v>
      </c>
      <c r="E68" s="4">
        <f>121-SUM(D68)</f>
        <v>19</v>
      </c>
      <c r="F68" s="4">
        <f>99-SUM(D68:E68)</f>
        <v>-22</v>
      </c>
      <c r="G68" s="4">
        <f>84-SUM(D68:F68)</f>
        <v>-15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</row>
    <row r="69" spans="1:15" x14ac:dyDescent="0.2">
      <c r="A69" t="s">
        <v>76</v>
      </c>
      <c r="D69" s="4">
        <v>0</v>
      </c>
      <c r="E69" s="4">
        <f>-336-SUM(D69)</f>
        <v>-336</v>
      </c>
      <c r="F69" s="4">
        <f>-336-SUM(D69:E69)</f>
        <v>0</v>
      </c>
      <c r="G69" s="4">
        <f>-337-918-SUM(D69:F69)</f>
        <v>-919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5" x14ac:dyDescent="0.2">
      <c r="A70" t="s">
        <v>70</v>
      </c>
      <c r="D70" s="4">
        <v>-186</v>
      </c>
      <c r="E70" s="4">
        <f>-186-SUM(D70)</f>
        <v>0</v>
      </c>
      <c r="F70" s="4">
        <f>-200-SUM(D70:E70)</f>
        <v>-14</v>
      </c>
      <c r="G70" s="4">
        <f>-280-SUM(D70:F70)</f>
        <v>-80</v>
      </c>
      <c r="H70" s="4">
        <v>-3</v>
      </c>
      <c r="I70" s="4">
        <f>-12-SUM(H70)</f>
        <v>-9</v>
      </c>
      <c r="J70" s="4">
        <f>-29-SUM(H70:I70)</f>
        <v>-17</v>
      </c>
      <c r="K70" s="4">
        <f>-100-SUM(H70:J70)</f>
        <v>-71</v>
      </c>
      <c r="L70" s="4">
        <v>-4</v>
      </c>
    </row>
    <row r="71" spans="1:15" x14ac:dyDescent="0.2">
      <c r="A71" t="s">
        <v>71</v>
      </c>
      <c r="D71" s="4">
        <v>-7</v>
      </c>
      <c r="E71" s="4">
        <f>-14-SUM(D71)</f>
        <v>-7</v>
      </c>
      <c r="F71" s="4">
        <f>-14-SUM(D71:E71)</f>
        <v>0</v>
      </c>
      <c r="G71" s="4">
        <f>1034-SUM(D71:F71)</f>
        <v>1048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5" x14ac:dyDescent="0.2">
      <c r="A72" t="s">
        <v>78</v>
      </c>
      <c r="D72" s="4">
        <v>0</v>
      </c>
      <c r="E72" s="4">
        <v>0</v>
      </c>
      <c r="F72" s="4">
        <v>0</v>
      </c>
      <c r="G72" s="4">
        <f>-900-SUM(D72:F72)</f>
        <v>-900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</row>
    <row r="73" spans="1:15" s="14" customFormat="1" x14ac:dyDescent="0.2">
      <c r="A73" s="14" t="s">
        <v>72</v>
      </c>
      <c r="D73" s="15">
        <f t="shared" ref="D73:F73" si="59">SUM(D68:D72)</f>
        <v>-91</v>
      </c>
      <c r="E73" s="15">
        <f t="shared" si="59"/>
        <v>-324</v>
      </c>
      <c r="F73" s="15">
        <f t="shared" si="59"/>
        <v>-36</v>
      </c>
      <c r="G73" s="15">
        <f>SUM(G68:G72)</f>
        <v>-866</v>
      </c>
      <c r="H73" s="15">
        <f t="shared" ref="H73:L73" si="60">SUM(H68:H72)</f>
        <v>-3</v>
      </c>
      <c r="I73" s="15">
        <f t="shared" si="60"/>
        <v>-9</v>
      </c>
      <c r="J73" s="15">
        <f t="shared" si="60"/>
        <v>-17</v>
      </c>
      <c r="K73" s="15">
        <f t="shared" si="60"/>
        <v>-71</v>
      </c>
      <c r="L73" s="15">
        <f t="shared" si="60"/>
        <v>-4</v>
      </c>
      <c r="M73" s="15"/>
      <c r="N73" s="15"/>
      <c r="O73" s="15"/>
    </row>
    <row r="75" spans="1:15" x14ac:dyDescent="0.2">
      <c r="A75" t="s">
        <v>73</v>
      </c>
      <c r="D75" s="4">
        <v>0</v>
      </c>
      <c r="E75" s="4">
        <f>-3-SUM(D75)</f>
        <v>-3</v>
      </c>
      <c r="F75" s="4">
        <f>-6-SUM(D75:E75)</f>
        <v>-3</v>
      </c>
      <c r="G75" s="4">
        <f>-6-SUM(D75:F75)</f>
        <v>0</v>
      </c>
      <c r="H75" s="4">
        <v>-4</v>
      </c>
      <c r="I75" s="4">
        <f>-5-SUM(H75)</f>
        <v>-1</v>
      </c>
      <c r="J75" s="4">
        <f>-9-SUM(H75:I75)</f>
        <v>-4</v>
      </c>
      <c r="K75" s="4">
        <f>-5-SUM(H75:J75)</f>
        <v>4</v>
      </c>
      <c r="L75" s="4">
        <v>-2</v>
      </c>
    </row>
    <row r="76" spans="1:15" x14ac:dyDescent="0.2">
      <c r="A76" t="s">
        <v>74</v>
      </c>
      <c r="D76" s="4">
        <f t="shared" ref="D76:K76" si="61">+D62+D66+D73+D75</f>
        <v>133</v>
      </c>
      <c r="E76" s="4">
        <f t="shared" si="61"/>
        <v>26</v>
      </c>
      <c r="F76" s="4">
        <f t="shared" si="61"/>
        <v>98</v>
      </c>
      <c r="G76" s="4">
        <f>+G62+G66+G73+G75</f>
        <v>153</v>
      </c>
      <c r="H76" s="4">
        <f t="shared" si="61"/>
        <v>138</v>
      </c>
      <c r="I76" s="4">
        <f t="shared" si="61"/>
        <v>-16</v>
      </c>
      <c r="J76" s="4">
        <f t="shared" si="61"/>
        <v>50</v>
      </c>
      <c r="K76" s="4">
        <f t="shared" si="61"/>
        <v>19</v>
      </c>
      <c r="L76" s="4">
        <f t="shared" ref="L76" si="62">+L62+L66+L73+L75</f>
        <v>12</v>
      </c>
    </row>
    <row r="77" spans="1:15" x14ac:dyDescent="0.2">
      <c r="A77" t="s">
        <v>91</v>
      </c>
      <c r="D77" s="4">
        <v>758</v>
      </c>
      <c r="E77" s="4">
        <f>+D77+E76</f>
        <v>784</v>
      </c>
      <c r="F77" s="4">
        <f>+E77+F76</f>
        <v>882</v>
      </c>
      <c r="G77" s="4">
        <v>1035</v>
      </c>
      <c r="H77" s="4">
        <v>1173</v>
      </c>
      <c r="I77" s="4">
        <f>+H77+I76</f>
        <v>1157</v>
      </c>
      <c r="J77" s="4">
        <f>+I77+J76</f>
        <v>1207</v>
      </c>
      <c r="K77" s="4">
        <f>+J77+K76</f>
        <v>1226</v>
      </c>
      <c r="L77" s="4">
        <f>+K77+L76</f>
        <v>1238</v>
      </c>
    </row>
    <row r="79" spans="1:15" x14ac:dyDescent="0.2">
      <c r="A79" t="s">
        <v>92</v>
      </c>
      <c r="D79" s="4">
        <f t="shared" ref="D79:K79" si="63">+D62+D64</f>
        <v>24</v>
      </c>
      <c r="E79" s="4">
        <f t="shared" si="63"/>
        <v>156</v>
      </c>
      <c r="F79" s="4">
        <f t="shared" si="63"/>
        <v>136</v>
      </c>
      <c r="G79" s="4">
        <f t="shared" si="63"/>
        <v>119</v>
      </c>
      <c r="H79" s="4">
        <f t="shared" si="63"/>
        <v>145</v>
      </c>
      <c r="I79" s="4">
        <f t="shared" si="63"/>
        <v>-6</v>
      </c>
      <c r="J79" s="4">
        <f t="shared" si="63"/>
        <v>71</v>
      </c>
      <c r="K79" s="4">
        <f t="shared" si="63"/>
        <v>86</v>
      </c>
      <c r="L79" s="4">
        <f>+L62+L64</f>
        <v>18</v>
      </c>
    </row>
    <row r="80" spans="1:15" x14ac:dyDescent="0.2">
      <c r="A80" s="13" t="s">
        <v>93</v>
      </c>
      <c r="G80" s="4">
        <f t="shared" ref="G80:K80" si="64">+SUM(D79:G79)</f>
        <v>435</v>
      </c>
      <c r="H80" s="4">
        <f t="shared" si="64"/>
        <v>556</v>
      </c>
      <c r="I80" s="4">
        <f t="shared" si="64"/>
        <v>394</v>
      </c>
      <c r="J80" s="4">
        <f t="shared" si="64"/>
        <v>329</v>
      </c>
      <c r="K80" s="4">
        <f t="shared" si="64"/>
        <v>296</v>
      </c>
      <c r="L80" s="4">
        <f>+SUM(I79:L79)</f>
        <v>169</v>
      </c>
    </row>
    <row r="82" spans="1:12" x14ac:dyDescent="0.2">
      <c r="A82" t="s">
        <v>90</v>
      </c>
      <c r="D82" s="4">
        <f>+D62-D56</f>
        <v>11</v>
      </c>
      <c r="E82" s="4">
        <f t="shared" ref="E82:K82" si="65">+E62-E56</f>
        <v>146</v>
      </c>
      <c r="F82" s="4">
        <f t="shared" si="65"/>
        <v>126</v>
      </c>
      <c r="G82" s="4">
        <f t="shared" si="65"/>
        <v>89</v>
      </c>
      <c r="H82" s="4">
        <f t="shared" si="65"/>
        <v>99</v>
      </c>
      <c r="I82" s="4">
        <f t="shared" si="65"/>
        <v>-29</v>
      </c>
      <c r="J82" s="4">
        <f t="shared" si="65"/>
        <v>25</v>
      </c>
      <c r="K82" s="4">
        <f t="shared" si="65"/>
        <v>47</v>
      </c>
      <c r="L82" s="4">
        <f t="shared" ref="L82" si="66">+L62-L56</f>
        <v>-22</v>
      </c>
    </row>
    <row r="83" spans="1:12" x14ac:dyDescent="0.2">
      <c r="A83" t="s">
        <v>75</v>
      </c>
      <c r="D83" s="4">
        <f t="shared" ref="D83:K83" si="67">+D62+D64+-D56</f>
        <v>-16</v>
      </c>
      <c r="E83" s="4">
        <f t="shared" si="67"/>
        <v>120</v>
      </c>
      <c r="F83" s="4">
        <f t="shared" si="67"/>
        <v>100</v>
      </c>
      <c r="G83" s="4">
        <f t="shared" si="67"/>
        <v>57</v>
      </c>
      <c r="H83" s="4">
        <f t="shared" si="67"/>
        <v>73</v>
      </c>
      <c r="I83" s="4">
        <f t="shared" si="67"/>
        <v>-61</v>
      </c>
      <c r="J83" s="4">
        <f t="shared" si="67"/>
        <v>8</v>
      </c>
      <c r="K83" s="4">
        <f t="shared" si="67"/>
        <v>24</v>
      </c>
      <c r="L83" s="4">
        <f t="shared" ref="L83" si="68">+L62+L64+-L56</f>
        <v>-44</v>
      </c>
    </row>
    <row r="84" spans="1:12" x14ac:dyDescent="0.2">
      <c r="A84" t="s">
        <v>77</v>
      </c>
      <c r="E84" s="4">
        <f>+E62+E64-E56+E69</f>
        <v>-216</v>
      </c>
      <c r="G84" s="4">
        <f>+G62+G64-G56+G69</f>
        <v>-862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2024-04-05T19:06:06Z</dcterms:created>
  <dcterms:modified xsi:type="dcterms:W3CDTF">2024-04-29T14:52:55Z</dcterms:modified>
</cp:coreProperties>
</file>