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Modehuizen\"/>
    </mc:Choice>
  </mc:AlternateContent>
  <xr:revisionPtr revIDLastSave="0" documentId="13_ncr:1_{29A3469E-E855-4D78-A37C-36029DEDD5DB}" xr6:coauthVersionLast="47" xr6:coauthVersionMax="47" xr10:uidLastSave="{00000000-0000-0000-0000-000000000000}"/>
  <bookViews>
    <workbookView xWindow="-120" yWindow="-120" windowWidth="29040" windowHeight="15840" activeTab="1" xr2:uid="{819A7133-F4D0-4918-AC6C-6C541C65BA6B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2" l="1"/>
  <c r="L26" i="2"/>
  <c r="J18" i="2"/>
  <c r="J16" i="2"/>
  <c r="J13" i="2"/>
  <c r="J11" i="2"/>
  <c r="J7" i="2"/>
  <c r="J21" i="2" s="1"/>
  <c r="K16" i="2"/>
  <c r="K13" i="2"/>
  <c r="K10" i="2"/>
  <c r="K11" i="2" s="1"/>
  <c r="K7" i="2"/>
  <c r="K21" i="2" s="1"/>
  <c r="G24" i="2"/>
  <c r="G23" i="2"/>
  <c r="G22" i="2"/>
  <c r="G21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L16" i="2"/>
  <c r="L13" i="2"/>
  <c r="L10" i="2"/>
  <c r="L11" i="2" s="1"/>
  <c r="L7" i="2"/>
  <c r="L21" i="2" s="1"/>
  <c r="E42" i="2"/>
  <c r="E41" i="2"/>
  <c r="E40" i="2"/>
  <c r="E38" i="2"/>
  <c r="E31" i="2"/>
  <c r="E30" i="2"/>
  <c r="E29" i="2"/>
  <c r="F42" i="2"/>
  <c r="F41" i="2"/>
  <c r="F47" i="2" s="1"/>
  <c r="F40" i="2"/>
  <c r="F31" i="2"/>
  <c r="F30" i="2"/>
  <c r="F29" i="2"/>
  <c r="F38" i="2" s="1"/>
  <c r="B42" i="2"/>
  <c r="B41" i="2"/>
  <c r="B40" i="2"/>
  <c r="B31" i="2"/>
  <c r="B30" i="2"/>
  <c r="B29" i="2"/>
  <c r="C48" i="2"/>
  <c r="C47" i="2"/>
  <c r="C42" i="2"/>
  <c r="C41" i="2"/>
  <c r="C40" i="2"/>
  <c r="C31" i="2"/>
  <c r="C30" i="2"/>
  <c r="C38" i="2" s="1"/>
  <c r="C29" i="2"/>
  <c r="D49" i="2"/>
  <c r="D48" i="2"/>
  <c r="D47" i="2"/>
  <c r="D42" i="2"/>
  <c r="D41" i="2"/>
  <c r="D40" i="2"/>
  <c r="D38" i="2"/>
  <c r="D31" i="2"/>
  <c r="D30" i="2"/>
  <c r="D29" i="2"/>
  <c r="D26" i="2"/>
  <c r="E26" i="2"/>
  <c r="B16" i="2"/>
  <c r="B13" i="2"/>
  <c r="B10" i="2"/>
  <c r="B11" i="2" s="1"/>
  <c r="B7" i="2"/>
  <c r="B21" i="2" s="1"/>
  <c r="C16" i="2"/>
  <c r="C13" i="2"/>
  <c r="C10" i="2"/>
  <c r="C11" i="2"/>
  <c r="C7" i="2"/>
  <c r="C21" i="2" s="1"/>
  <c r="F26" i="2"/>
  <c r="D16" i="2"/>
  <c r="D13" i="2"/>
  <c r="D10" i="2"/>
  <c r="D11" i="2" s="1"/>
  <c r="D7" i="2"/>
  <c r="D21" i="2" s="1"/>
  <c r="E16" i="2"/>
  <c r="E13" i="2"/>
  <c r="E10" i="2"/>
  <c r="E11" i="2" s="1"/>
  <c r="E12" i="2" s="1"/>
  <c r="F12" i="2"/>
  <c r="F11" i="2"/>
  <c r="E7" i="2"/>
  <c r="E21" i="2" s="1"/>
  <c r="F16" i="2"/>
  <c r="F13" i="2"/>
  <c r="F7" i="2"/>
  <c r="F21" i="2" s="1"/>
  <c r="J12" i="2" l="1"/>
  <c r="K12" i="2"/>
  <c r="L12" i="2"/>
  <c r="E47" i="2"/>
  <c r="E48" i="2" s="1"/>
  <c r="E49" i="2" s="1"/>
  <c r="F48" i="2"/>
  <c r="F49" i="2" s="1"/>
  <c r="B47" i="2"/>
  <c r="B38" i="2"/>
  <c r="C49" i="2"/>
  <c r="B12" i="2"/>
  <c r="B22" i="2" s="1"/>
  <c r="C12" i="2"/>
  <c r="C15" i="2" s="1"/>
  <c r="C17" i="2" s="1"/>
  <c r="D12" i="2"/>
  <c r="J15" i="2" l="1"/>
  <c r="J22" i="2"/>
  <c r="K22" i="2"/>
  <c r="K15" i="2"/>
  <c r="L22" i="2"/>
  <c r="L15" i="2"/>
  <c r="B48" i="2"/>
  <c r="B49" i="2" s="1"/>
  <c r="B15" i="2"/>
  <c r="B17" i="2" s="1"/>
  <c r="B18" i="2" s="1"/>
  <c r="C22" i="2"/>
  <c r="C24" i="2"/>
  <c r="C23" i="2"/>
  <c r="C18" i="2"/>
  <c r="D22" i="2"/>
  <c r="D15" i="2"/>
  <c r="F22" i="2"/>
  <c r="F15" i="2"/>
  <c r="E22" i="2"/>
  <c r="E15" i="2"/>
  <c r="J24" i="2" l="1"/>
  <c r="J17" i="2"/>
  <c r="K17" i="2"/>
  <c r="K24" i="2"/>
  <c r="L17" i="2"/>
  <c r="L24" i="2"/>
  <c r="B23" i="2"/>
  <c r="B24" i="2"/>
  <c r="D24" i="2"/>
  <c r="D17" i="2"/>
  <c r="F17" i="2"/>
  <c r="F24" i="2"/>
  <c r="E17" i="2"/>
  <c r="E24" i="2"/>
  <c r="J23" i="2" l="1"/>
  <c r="K18" i="2"/>
  <c r="K23" i="2"/>
  <c r="L23" i="2"/>
  <c r="L18" i="2"/>
  <c r="D23" i="2"/>
  <c r="D18" i="2"/>
  <c r="F18" i="2"/>
  <c r="F23" i="2"/>
  <c r="E23" i="2"/>
  <c r="E18" i="2"/>
</calcChain>
</file>

<file path=xl/sharedStrings.xml><?xml version="1.0" encoding="utf-8"?>
<sst xmlns="http://schemas.openxmlformats.org/spreadsheetml/2006/main" count="57" uniqueCount="52">
  <si>
    <t xml:space="preserve"> (Louis Vuitton Moët Hennessy)</t>
  </si>
  <si>
    <t>LVMH</t>
  </si>
  <si>
    <t>(in millions)</t>
  </si>
  <si>
    <t>Income Statement</t>
  </si>
  <si>
    <t>First half</t>
  </si>
  <si>
    <t>Dec. 31, 2022</t>
  </si>
  <si>
    <t>June 30, 2023</t>
  </si>
  <si>
    <t>Second half</t>
  </si>
  <si>
    <t>Revenue</t>
  </si>
  <si>
    <t>COGS</t>
  </si>
  <si>
    <t>Gross margin</t>
  </si>
  <si>
    <t>M&amp;S</t>
  </si>
  <si>
    <t>G&amp;A</t>
  </si>
  <si>
    <t>Operating expenses</t>
  </si>
  <si>
    <t>Operating profit</t>
  </si>
  <si>
    <t>Interest expenses</t>
  </si>
  <si>
    <t>Net income</t>
  </si>
  <si>
    <t>Pretaxes</t>
  </si>
  <si>
    <t>Taxes</t>
  </si>
  <si>
    <t>EPS</t>
  </si>
  <si>
    <t>Shares</t>
  </si>
  <si>
    <t>Gross margin %</t>
  </si>
  <si>
    <t>Operating margin %</t>
  </si>
  <si>
    <t>Net margin %</t>
  </si>
  <si>
    <t>Tax rate %</t>
  </si>
  <si>
    <t>Revenue y/y</t>
  </si>
  <si>
    <t>OI&amp;E</t>
  </si>
  <si>
    <t>OE</t>
  </si>
  <si>
    <t>Dec. 31, 2021</t>
  </si>
  <si>
    <t>June 30, 2021</t>
  </si>
  <si>
    <t>June 30, 2022</t>
  </si>
  <si>
    <t>Balance sheet</t>
  </si>
  <si>
    <t>Goodwill+Intangible</t>
  </si>
  <si>
    <t>PP&amp;E</t>
  </si>
  <si>
    <t>ONCA</t>
  </si>
  <si>
    <t>Deferred taks</t>
  </si>
  <si>
    <t>Inventories</t>
  </si>
  <si>
    <t>A/R</t>
  </si>
  <si>
    <t>Income taxes</t>
  </si>
  <si>
    <t>OCA</t>
  </si>
  <si>
    <t>Cash</t>
  </si>
  <si>
    <t>Total assets</t>
  </si>
  <si>
    <t>Debt</t>
  </si>
  <si>
    <t>lease</t>
  </si>
  <si>
    <t>deferred taks</t>
  </si>
  <si>
    <t>ONCL</t>
  </si>
  <si>
    <t>A/P</t>
  </si>
  <si>
    <t>OCL</t>
  </si>
  <si>
    <t>Total liabilities</t>
  </si>
  <si>
    <t>S/E</t>
  </si>
  <si>
    <t>L+S/E</t>
  </si>
  <si>
    <t>Dec.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</si>
</sst>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9" fontId="1" fillId="0" borderId="0" xfId="1" applyFont="1"/>
    <xf numFmtId="9" fontId="3" fillId="0" borderId="0" xfId="1" applyFont="1"/>
    <xf numFmtId="0" fontId="1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171450</xdr:rowOff>
    </xdr:from>
    <xdr:to>
      <xdr:col>12</xdr:col>
      <xdr:colOff>9525</xdr:colOff>
      <xdr:row>62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45B4542-4850-0756-377F-42C8873DC1F1}"/>
            </a:ext>
          </a:extLst>
        </xdr:cNvPr>
        <xdr:cNvCxnSpPr/>
      </xdr:nvCxnSpPr>
      <xdr:spPr>
        <a:xfrm>
          <a:off x="10487025" y="171450"/>
          <a:ext cx="0" cy="11953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EA6C-8D33-4F39-BA02-666ED9BF6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8EDB-6B4C-4FD8-ACE2-6D39A3DEB14E}">
  <dimension ref="A1:L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17" sqref="P17"/>
    </sheetView>
  </sheetViews>
  <sheetFormatPr defaultRowHeight="12.75" x14ac:dyDescent="0.2"/>
  <cols>
    <col min="1" max="1" width="25.7109375" style="1" bestFit="1" customWidth="1"/>
    <col min="2" max="2" width="12.42578125" style="1" bestFit="1" customWidth="1"/>
    <col min="3" max="3" width="12.28515625" style="1" bestFit="1" customWidth="1"/>
    <col min="4" max="4" width="12.42578125" style="1" bestFit="1" customWidth="1"/>
    <col min="5" max="5" width="12.28515625" style="1" bestFit="1" customWidth="1"/>
    <col min="6" max="6" width="13.28515625" style="1" bestFit="1" customWidth="1"/>
    <col min="7" max="7" width="12.28515625" style="1" bestFit="1" customWidth="1"/>
    <col min="8" max="8" width="17.85546875" style="1" bestFit="1" customWidth="1"/>
    <col min="9" max="10" width="9.140625" style="1"/>
    <col min="11" max="11" width="11.140625" style="1" bestFit="1" customWidth="1"/>
    <col min="12" max="16384" width="9.140625" style="1"/>
  </cols>
  <sheetData>
    <row r="1" spans="1:12" x14ac:dyDescent="0.2">
      <c r="A1" s="1" t="s">
        <v>1</v>
      </c>
    </row>
    <row r="2" spans="1:12" x14ac:dyDescent="0.2">
      <c r="A2" s="1" t="s">
        <v>0</v>
      </c>
    </row>
    <row r="3" spans="1:12" x14ac:dyDescent="0.2">
      <c r="A3" s="1" t="s">
        <v>2</v>
      </c>
      <c r="B3" s="2" t="s">
        <v>29</v>
      </c>
      <c r="C3" s="2" t="s">
        <v>28</v>
      </c>
      <c r="D3" s="2" t="s">
        <v>30</v>
      </c>
      <c r="E3" s="2" t="s">
        <v>5</v>
      </c>
      <c r="F3" s="2" t="s">
        <v>6</v>
      </c>
      <c r="G3" s="2" t="s">
        <v>51</v>
      </c>
    </row>
    <row r="4" spans="1:12" x14ac:dyDescent="0.2">
      <c r="A4" s="1" t="s">
        <v>3</v>
      </c>
      <c r="B4" s="2" t="s">
        <v>4</v>
      </c>
      <c r="C4" s="2" t="s">
        <v>7</v>
      </c>
      <c r="D4" s="2" t="s">
        <v>4</v>
      </c>
      <c r="E4" s="2" t="s">
        <v>7</v>
      </c>
      <c r="F4" s="2" t="s">
        <v>4</v>
      </c>
      <c r="G4" s="2" t="s">
        <v>7</v>
      </c>
      <c r="H4" s="2"/>
      <c r="I4" s="2"/>
      <c r="J4" s="7">
        <v>2021</v>
      </c>
      <c r="K4" s="7">
        <v>2022</v>
      </c>
      <c r="L4" s="7">
        <v>2023</v>
      </c>
    </row>
    <row r="5" spans="1:12" s="3" customFormat="1" x14ac:dyDescent="0.2">
      <c r="A5" s="3" t="s">
        <v>8</v>
      </c>
      <c r="B5" s="3">
        <v>28665</v>
      </c>
      <c r="C5" s="3">
        <v>64215</v>
      </c>
      <c r="D5" s="3">
        <v>36729</v>
      </c>
      <c r="E5" s="3">
        <v>79184</v>
      </c>
      <c r="F5" s="3">
        <v>42240</v>
      </c>
      <c r="G5" s="3">
        <f>+L5-F5</f>
        <v>43913</v>
      </c>
      <c r="J5" s="3">
        <v>64215</v>
      </c>
      <c r="K5" s="3">
        <v>79184</v>
      </c>
      <c r="L5" s="3">
        <v>86153</v>
      </c>
    </row>
    <row r="6" spans="1:12" x14ac:dyDescent="0.2">
      <c r="A6" s="1" t="s">
        <v>9</v>
      </c>
      <c r="B6" s="1">
        <v>9107</v>
      </c>
      <c r="C6" s="1">
        <v>20355</v>
      </c>
      <c r="D6" s="1">
        <v>11418</v>
      </c>
      <c r="E6" s="1">
        <v>24988</v>
      </c>
      <c r="F6" s="1">
        <v>12923</v>
      </c>
      <c r="G6" s="1">
        <f>+L6-F6</f>
        <v>13953</v>
      </c>
      <c r="J6" s="1">
        <v>20355</v>
      </c>
      <c r="K6" s="1">
        <v>24988</v>
      </c>
      <c r="L6" s="1">
        <v>26876</v>
      </c>
    </row>
    <row r="7" spans="1:12" x14ac:dyDescent="0.2">
      <c r="A7" s="1" t="s">
        <v>10</v>
      </c>
      <c r="B7" s="1">
        <f t="shared" ref="B7:G7" si="0">+B5-B6</f>
        <v>19558</v>
      </c>
      <c r="C7" s="1">
        <f t="shared" si="0"/>
        <v>43860</v>
      </c>
      <c r="D7" s="1">
        <f t="shared" si="0"/>
        <v>25311</v>
      </c>
      <c r="E7" s="1">
        <f t="shared" si="0"/>
        <v>54196</v>
      </c>
      <c r="F7" s="1">
        <f t="shared" si="0"/>
        <v>29317</v>
      </c>
      <c r="G7" s="1">
        <f t="shared" si="0"/>
        <v>29960</v>
      </c>
      <c r="J7" s="1">
        <f>+J5-J6</f>
        <v>43860</v>
      </c>
      <c r="K7" s="1">
        <f>+K5-K6</f>
        <v>54196</v>
      </c>
      <c r="L7" s="1">
        <f>+L5-L6</f>
        <v>59277</v>
      </c>
    </row>
    <row r="8" spans="1:12" x14ac:dyDescent="0.2">
      <c r="A8" s="1" t="s">
        <v>11</v>
      </c>
      <c r="B8" s="1">
        <v>9808</v>
      </c>
      <c r="C8" s="1">
        <v>22308</v>
      </c>
      <c r="D8" s="1">
        <v>12701</v>
      </c>
      <c r="E8" s="1">
        <v>28151</v>
      </c>
      <c r="F8" s="1">
        <v>14915</v>
      </c>
      <c r="G8" s="1">
        <f>+L8-F8</f>
        <v>15853</v>
      </c>
      <c r="J8" s="1">
        <v>22308</v>
      </c>
      <c r="K8" s="1">
        <v>28151</v>
      </c>
      <c r="L8" s="1">
        <v>30768</v>
      </c>
    </row>
    <row r="9" spans="1:12" x14ac:dyDescent="0.2">
      <c r="A9" s="1" t="s">
        <v>12</v>
      </c>
      <c r="B9" s="1">
        <v>2108</v>
      </c>
      <c r="C9" s="1">
        <v>4414</v>
      </c>
      <c r="D9" s="1">
        <v>2378</v>
      </c>
      <c r="E9" s="1">
        <v>5027</v>
      </c>
      <c r="F9" s="1">
        <v>2823</v>
      </c>
      <c r="G9" s="1">
        <f>+L9-F9</f>
        <v>2891</v>
      </c>
      <c r="J9" s="1">
        <v>4414</v>
      </c>
      <c r="K9" s="1">
        <v>5027</v>
      </c>
      <c r="L9" s="1">
        <v>5714</v>
      </c>
    </row>
    <row r="10" spans="1:12" x14ac:dyDescent="0.2">
      <c r="A10" s="1" t="s">
        <v>27</v>
      </c>
      <c r="B10" s="1">
        <f>21+34</f>
        <v>55</v>
      </c>
      <c r="C10" s="1">
        <f>+-13+-4</f>
        <v>-17</v>
      </c>
      <c r="D10" s="1">
        <f>108-3</f>
        <v>105</v>
      </c>
      <c r="E10" s="1">
        <f>-37+54</f>
        <v>17</v>
      </c>
      <c r="F10" s="1">
        <v>15</v>
      </c>
      <c r="G10" s="1">
        <f>+L10-F10</f>
        <v>220</v>
      </c>
      <c r="J10" s="1">
        <v>-17</v>
      </c>
      <c r="K10" s="1">
        <f>54-37</f>
        <v>17</v>
      </c>
      <c r="L10" s="1">
        <f>242-7</f>
        <v>235</v>
      </c>
    </row>
    <row r="11" spans="1:12" x14ac:dyDescent="0.2">
      <c r="A11" s="1" t="s">
        <v>13</v>
      </c>
      <c r="B11" s="1">
        <f t="shared" ref="B11:G11" si="1">+SUM(B8:B10)</f>
        <v>11971</v>
      </c>
      <c r="C11" s="1">
        <f t="shared" si="1"/>
        <v>26705</v>
      </c>
      <c r="D11" s="1">
        <f t="shared" si="1"/>
        <v>15184</v>
      </c>
      <c r="E11" s="1">
        <f t="shared" si="1"/>
        <v>33195</v>
      </c>
      <c r="F11" s="1">
        <f t="shared" si="1"/>
        <v>17753</v>
      </c>
      <c r="G11" s="1">
        <f t="shared" si="1"/>
        <v>18964</v>
      </c>
      <c r="J11" s="1">
        <f>+SUM(J8:J10)</f>
        <v>26705</v>
      </c>
      <c r="K11" s="1">
        <f>+SUM(K8:K10)</f>
        <v>33195</v>
      </c>
      <c r="L11" s="1">
        <f>+SUM(L8:L10)</f>
        <v>36717</v>
      </c>
    </row>
    <row r="12" spans="1:12" s="3" customFormat="1" x14ac:dyDescent="0.2">
      <c r="A12" s="3" t="s">
        <v>14</v>
      </c>
      <c r="B12" s="3">
        <f t="shared" ref="B12:G12" si="2">+B7-B11</f>
        <v>7587</v>
      </c>
      <c r="C12" s="3">
        <f t="shared" si="2"/>
        <v>17155</v>
      </c>
      <c r="D12" s="3">
        <f t="shared" si="2"/>
        <v>10127</v>
      </c>
      <c r="E12" s="3">
        <f t="shared" si="2"/>
        <v>21001</v>
      </c>
      <c r="F12" s="3">
        <f t="shared" si="2"/>
        <v>11564</v>
      </c>
      <c r="G12" s="3">
        <f t="shared" si="2"/>
        <v>10996</v>
      </c>
      <c r="J12" s="3">
        <f>+J7-J11</f>
        <v>17155</v>
      </c>
      <c r="K12" s="3">
        <f>+K7-K11</f>
        <v>21001</v>
      </c>
      <c r="L12" s="3">
        <f>+L7-L11</f>
        <v>22560</v>
      </c>
    </row>
    <row r="13" spans="1:12" x14ac:dyDescent="0.2">
      <c r="A13" s="1" t="s">
        <v>15</v>
      </c>
      <c r="B13" s="1">
        <f>22+-127</f>
        <v>-105</v>
      </c>
      <c r="C13" s="1">
        <f>41+-242</f>
        <v>-201</v>
      </c>
      <c r="D13" s="1">
        <f>2+-116</f>
        <v>-114</v>
      </c>
      <c r="E13" s="1">
        <f>+-17+-254</f>
        <v>-271</v>
      </c>
      <c r="F13" s="1">
        <f>-171+-160</f>
        <v>-331</v>
      </c>
      <c r="G13" s="1">
        <f>+L13-F13</f>
        <v>-429</v>
      </c>
      <c r="J13" s="1">
        <f>41+-242</f>
        <v>-201</v>
      </c>
      <c r="K13" s="1">
        <f>+-17+-254</f>
        <v>-271</v>
      </c>
      <c r="L13" s="1">
        <f>-367-393</f>
        <v>-760</v>
      </c>
    </row>
    <row r="14" spans="1:12" x14ac:dyDescent="0.2">
      <c r="A14" s="1" t="s">
        <v>26</v>
      </c>
      <c r="B14" s="1">
        <v>117</v>
      </c>
      <c r="C14" s="1">
        <v>254</v>
      </c>
      <c r="D14" s="1">
        <v>-684</v>
      </c>
      <c r="E14" s="1">
        <v>-617</v>
      </c>
      <c r="F14" s="1">
        <v>798</v>
      </c>
      <c r="G14" s="1">
        <f>+L14-F14</f>
        <v>-973</v>
      </c>
      <c r="J14" s="1">
        <v>254</v>
      </c>
      <c r="K14" s="1">
        <v>-617</v>
      </c>
      <c r="L14" s="1">
        <v>-175</v>
      </c>
    </row>
    <row r="15" spans="1:12" x14ac:dyDescent="0.2">
      <c r="A15" s="1" t="s">
        <v>17</v>
      </c>
      <c r="B15" s="1">
        <f t="shared" ref="B15:G15" si="3">+B12+B13+B14</f>
        <v>7599</v>
      </c>
      <c r="C15" s="1">
        <f t="shared" si="3"/>
        <v>17208</v>
      </c>
      <c r="D15" s="1">
        <f t="shared" si="3"/>
        <v>9329</v>
      </c>
      <c r="E15" s="1">
        <f t="shared" si="3"/>
        <v>20113</v>
      </c>
      <c r="F15" s="1">
        <f t="shared" si="3"/>
        <v>12031</v>
      </c>
      <c r="G15" s="1">
        <f t="shared" si="3"/>
        <v>9594</v>
      </c>
      <c r="J15" s="1">
        <f>+J12+J13+J14</f>
        <v>17208</v>
      </c>
      <c r="K15" s="1">
        <f>+K12+K13+K14</f>
        <v>20113</v>
      </c>
      <c r="L15" s="1">
        <f>+L12+L13+L14</f>
        <v>21625</v>
      </c>
    </row>
    <row r="16" spans="1:12" x14ac:dyDescent="0.2">
      <c r="A16" s="1" t="s">
        <v>18</v>
      </c>
      <c r="B16" s="1">
        <f>2012+287</f>
        <v>2299</v>
      </c>
      <c r="C16" s="1">
        <f>4510+662</f>
        <v>5172</v>
      </c>
      <c r="D16" s="1">
        <f>2385+412</f>
        <v>2797</v>
      </c>
      <c r="E16" s="1">
        <f>5362+667</f>
        <v>6029</v>
      </c>
      <c r="F16" s="1">
        <f>3129+421</f>
        <v>3550</v>
      </c>
      <c r="G16" s="1">
        <f>+L16-F16</f>
        <v>2901</v>
      </c>
      <c r="J16" s="1">
        <f>4510+662</f>
        <v>5172</v>
      </c>
      <c r="K16" s="1">
        <f>5362+667</f>
        <v>6029</v>
      </c>
      <c r="L16" s="1">
        <f>5673+778</f>
        <v>6451</v>
      </c>
    </row>
    <row r="17" spans="1:12" s="3" customFormat="1" x14ac:dyDescent="0.2">
      <c r="A17" s="3" t="s">
        <v>16</v>
      </c>
      <c r="B17" s="3">
        <f t="shared" ref="B17:G17" si="4">+B15-B16</f>
        <v>5300</v>
      </c>
      <c r="C17" s="3">
        <f t="shared" si="4"/>
        <v>12036</v>
      </c>
      <c r="D17" s="3">
        <f t="shared" si="4"/>
        <v>6532</v>
      </c>
      <c r="E17" s="3">
        <f t="shared" si="4"/>
        <v>14084</v>
      </c>
      <c r="F17" s="3">
        <f t="shared" si="4"/>
        <v>8481</v>
      </c>
      <c r="G17" s="3">
        <f t="shared" si="4"/>
        <v>6693</v>
      </c>
      <c r="J17" s="3">
        <f>+J15-J16</f>
        <v>12036</v>
      </c>
      <c r="K17" s="3">
        <f>+K15-K16</f>
        <v>14084</v>
      </c>
      <c r="L17" s="3">
        <f>+L15-L16</f>
        <v>15174</v>
      </c>
    </row>
    <row r="18" spans="1:12" x14ac:dyDescent="0.2">
      <c r="A18" s="1" t="s">
        <v>19</v>
      </c>
      <c r="B18" s="1">
        <f>+B17/B19</f>
        <v>10.515243770333107</v>
      </c>
      <c r="C18" s="1">
        <f>+C17/C19</f>
        <v>23.885900553779798</v>
      </c>
      <c r="D18" s="1">
        <f>+D17/D19</f>
        <v>12.985483378634951</v>
      </c>
      <c r="E18" s="1">
        <f>+E17/E19</f>
        <v>28.02897069953616</v>
      </c>
      <c r="F18" s="1">
        <f>+F17/F19</f>
        <v>16.935256858484493</v>
      </c>
      <c r="G18" s="1">
        <f>+L18-F18</f>
        <v>13.394283612639487</v>
      </c>
      <c r="J18" s="1">
        <f>+J17/J19</f>
        <v>23.885900553779798</v>
      </c>
      <c r="K18" s="1">
        <f>+K17/K19</f>
        <v>28.02897069953616</v>
      </c>
      <c r="L18" s="1">
        <f>+L17/L19</f>
        <v>30.32954047112398</v>
      </c>
    </row>
    <row r="19" spans="1:12" x14ac:dyDescent="0.2">
      <c r="A19" s="1" t="s">
        <v>20</v>
      </c>
      <c r="B19" s="1">
        <v>504.03016000000002</v>
      </c>
      <c r="C19" s="1">
        <v>503.89559200000002</v>
      </c>
      <c r="D19" s="1">
        <v>503.02324599999997</v>
      </c>
      <c r="E19" s="1">
        <v>502.48009999999999</v>
      </c>
      <c r="F19" s="1">
        <v>500.78957000000003</v>
      </c>
      <c r="G19" s="1">
        <v>500.30431599999997</v>
      </c>
      <c r="J19" s="1">
        <v>503.89559200000002</v>
      </c>
      <c r="K19" s="1">
        <v>502.48009999999999</v>
      </c>
      <c r="L19" s="1">
        <v>500.30431599999997</v>
      </c>
    </row>
    <row r="21" spans="1:12" s="4" customFormat="1" x14ac:dyDescent="0.2">
      <c r="A21" s="4" t="s">
        <v>21</v>
      </c>
      <c r="B21" s="5">
        <f t="shared" ref="B21:G21" si="5">+B7/B5</f>
        <v>0.68229548229548231</v>
      </c>
      <c r="C21" s="5">
        <f t="shared" si="5"/>
        <v>0.68301798645176359</v>
      </c>
      <c r="D21" s="5">
        <f t="shared" si="5"/>
        <v>0.68912848158131179</v>
      </c>
      <c r="E21" s="5">
        <f t="shared" si="5"/>
        <v>0.68443119822186305</v>
      </c>
      <c r="F21" s="5">
        <f t="shared" si="5"/>
        <v>0.69405776515151518</v>
      </c>
      <c r="G21" s="5">
        <f t="shared" si="5"/>
        <v>0.68225810124564479</v>
      </c>
      <c r="J21" s="5">
        <f t="shared" ref="J21:K21" si="6">+J7/J5</f>
        <v>0.68301798645176359</v>
      </c>
      <c r="K21" s="5">
        <f t="shared" si="6"/>
        <v>0.68443119822186305</v>
      </c>
      <c r="L21" s="5">
        <f>+L7/L5</f>
        <v>0.68804336471161776</v>
      </c>
    </row>
    <row r="22" spans="1:12" s="4" customFormat="1" x14ac:dyDescent="0.2">
      <c r="A22" s="4" t="s">
        <v>22</v>
      </c>
      <c r="B22" s="5">
        <f t="shared" ref="B22:G22" si="7">+B12/B5</f>
        <v>0.26467817896389323</v>
      </c>
      <c r="C22" s="5">
        <f t="shared" si="7"/>
        <v>0.26714941991746477</v>
      </c>
      <c r="D22" s="5">
        <f t="shared" si="7"/>
        <v>0.27572218138255872</v>
      </c>
      <c r="E22" s="5">
        <f t="shared" si="7"/>
        <v>0.265217720751667</v>
      </c>
      <c r="F22" s="5">
        <f t="shared" si="7"/>
        <v>0.27376893939393937</v>
      </c>
      <c r="G22" s="5">
        <f t="shared" si="7"/>
        <v>0.25040420832099836</v>
      </c>
      <c r="J22" s="5">
        <f t="shared" ref="J22:K22" si="8">+J12/J5</f>
        <v>0.26714941991746477</v>
      </c>
      <c r="K22" s="5">
        <f t="shared" si="8"/>
        <v>0.265217720751667</v>
      </c>
      <c r="L22" s="5">
        <f>+L12/L5</f>
        <v>0.26185971469362646</v>
      </c>
    </row>
    <row r="23" spans="1:12" s="4" customFormat="1" x14ac:dyDescent="0.2">
      <c r="A23" s="4" t="s">
        <v>23</v>
      </c>
      <c r="B23" s="5">
        <f t="shared" ref="B23:G23" si="9">+B17/B5</f>
        <v>0.18489447060875633</v>
      </c>
      <c r="C23" s="5">
        <f t="shared" si="9"/>
        <v>0.18743284279373978</v>
      </c>
      <c r="D23" s="5">
        <f t="shared" si="9"/>
        <v>0.17784312123934765</v>
      </c>
      <c r="E23" s="5">
        <f t="shared" si="9"/>
        <v>0.17786421499292787</v>
      </c>
      <c r="F23" s="5">
        <f t="shared" si="9"/>
        <v>0.20078124999999999</v>
      </c>
      <c r="G23" s="5">
        <f t="shared" si="9"/>
        <v>0.15241500239109149</v>
      </c>
      <c r="J23" s="5">
        <f t="shared" ref="J23:K23" si="10">+J17/J5</f>
        <v>0.18743284279373978</v>
      </c>
      <c r="K23" s="5">
        <f t="shared" si="10"/>
        <v>0.17786421499292787</v>
      </c>
      <c r="L23" s="5">
        <f>+L17/L5</f>
        <v>0.17612851554792056</v>
      </c>
    </row>
    <row r="24" spans="1:12" s="4" customFormat="1" x14ac:dyDescent="0.2">
      <c r="A24" s="4" t="s">
        <v>24</v>
      </c>
      <c r="B24" s="5">
        <f t="shared" ref="B24:G24" si="11">+B16/B15</f>
        <v>0.3025398078694565</v>
      </c>
      <c r="C24" s="5">
        <f t="shared" si="11"/>
        <v>0.30055788005578798</v>
      </c>
      <c r="D24" s="5">
        <f t="shared" si="11"/>
        <v>0.29981777253724945</v>
      </c>
      <c r="E24" s="5">
        <f t="shared" si="11"/>
        <v>0.29975637647292797</v>
      </c>
      <c r="F24" s="5">
        <f t="shared" si="11"/>
        <v>0.29507106641176961</v>
      </c>
      <c r="G24" s="5">
        <f t="shared" si="11"/>
        <v>0.30237648530331457</v>
      </c>
      <c r="J24" s="5">
        <f t="shared" ref="J24:K24" si="12">+J16/J15</f>
        <v>0.30055788005578798</v>
      </c>
      <c r="K24" s="5">
        <f t="shared" si="12"/>
        <v>0.29975637647292797</v>
      </c>
      <c r="L24" s="5">
        <f>+L16/L15</f>
        <v>0.29831213872832368</v>
      </c>
    </row>
    <row r="26" spans="1:12" s="6" customFormat="1" x14ac:dyDescent="0.2">
      <c r="A26" s="6" t="s">
        <v>25</v>
      </c>
      <c r="D26" s="6">
        <f>+D5/B5-1</f>
        <v>0.28131868131868143</v>
      </c>
      <c r="E26" s="6">
        <f>+E5/C5-1</f>
        <v>0.23310752939344392</v>
      </c>
      <c r="F26" s="6">
        <f>+F5/D5-1</f>
        <v>0.15004492362982935</v>
      </c>
      <c r="K26" s="6">
        <f>+K5/J5-1</f>
        <v>0.23310752939344392</v>
      </c>
      <c r="L26" s="6">
        <f>+L5/K5-1</f>
        <v>8.8010204081632626E-2</v>
      </c>
    </row>
    <row r="28" spans="1:12" x14ac:dyDescent="0.2">
      <c r="A28" s="1" t="s">
        <v>31</v>
      </c>
    </row>
    <row r="29" spans="1:12" x14ac:dyDescent="0.2">
      <c r="A29" s="1" t="s">
        <v>32</v>
      </c>
      <c r="B29" s="1">
        <f>23345+25629</f>
        <v>48974</v>
      </c>
      <c r="C29" s="1">
        <f>24551+25904</f>
        <v>50455</v>
      </c>
      <c r="D29" s="1">
        <f>25429+25551</f>
        <v>50980</v>
      </c>
      <c r="E29" s="1">
        <f>25432+24782</f>
        <v>50214</v>
      </c>
      <c r="F29" s="1">
        <f>25319+25102</f>
        <v>50421</v>
      </c>
    </row>
    <row r="30" spans="1:12" x14ac:dyDescent="0.2">
      <c r="A30" s="1" t="s">
        <v>33</v>
      </c>
      <c r="B30" s="1">
        <f>19399+13897</f>
        <v>33296</v>
      </c>
      <c r="C30" s="1">
        <f>20193+13705</f>
        <v>33898</v>
      </c>
      <c r="D30" s="1">
        <f>21141+14555</f>
        <v>35696</v>
      </c>
      <c r="E30" s="1">
        <f>23055+14615</f>
        <v>37670</v>
      </c>
      <c r="F30" s="1">
        <f>24971+14642</f>
        <v>39613</v>
      </c>
    </row>
    <row r="31" spans="1:12" x14ac:dyDescent="0.2">
      <c r="A31" s="1" t="s">
        <v>34</v>
      </c>
      <c r="B31" s="1">
        <f>974+980+967</f>
        <v>2921</v>
      </c>
      <c r="C31" s="1">
        <f>1084+1363+1054</f>
        <v>3501</v>
      </c>
      <c r="D31" s="1">
        <f>1133+1320+1168</f>
        <v>3621</v>
      </c>
      <c r="E31" s="1">
        <f>1066+1109+1186</f>
        <v>3361</v>
      </c>
      <c r="F31" s="1">
        <f>1074+1394+1102</f>
        <v>3570</v>
      </c>
    </row>
    <row r="32" spans="1:12" x14ac:dyDescent="0.2">
      <c r="A32" s="1" t="s">
        <v>35</v>
      </c>
      <c r="B32" s="1">
        <v>2899</v>
      </c>
      <c r="C32" s="1">
        <v>3156</v>
      </c>
      <c r="D32" s="1">
        <v>3721</v>
      </c>
      <c r="E32" s="1">
        <v>3661</v>
      </c>
      <c r="F32" s="1">
        <v>3769</v>
      </c>
    </row>
    <row r="33" spans="1:6" x14ac:dyDescent="0.2">
      <c r="A33" s="1" t="s">
        <v>36</v>
      </c>
      <c r="B33" s="1">
        <v>15832</v>
      </c>
      <c r="C33" s="1">
        <v>16549</v>
      </c>
      <c r="D33" s="1">
        <v>18920</v>
      </c>
      <c r="E33" s="1">
        <v>20319</v>
      </c>
      <c r="F33" s="1">
        <v>22638</v>
      </c>
    </row>
    <row r="34" spans="1:6" x14ac:dyDescent="0.2">
      <c r="A34" s="1" t="s">
        <v>37</v>
      </c>
      <c r="B34" s="1">
        <v>2951</v>
      </c>
      <c r="C34" s="1">
        <v>3787</v>
      </c>
      <c r="D34" s="1">
        <v>4078</v>
      </c>
      <c r="E34" s="1">
        <v>4258</v>
      </c>
      <c r="F34" s="1">
        <v>4173</v>
      </c>
    </row>
    <row r="35" spans="1:6" x14ac:dyDescent="0.2">
      <c r="A35" s="1" t="s">
        <v>38</v>
      </c>
      <c r="B35" s="1">
        <v>355</v>
      </c>
      <c r="C35" s="1">
        <v>338</v>
      </c>
      <c r="D35" s="1">
        <v>536</v>
      </c>
      <c r="E35" s="1">
        <v>375</v>
      </c>
      <c r="F35" s="1">
        <v>507</v>
      </c>
    </row>
    <row r="36" spans="1:6" x14ac:dyDescent="0.2">
      <c r="A36" s="1" t="s">
        <v>39</v>
      </c>
      <c r="B36" s="1">
        <v>4067</v>
      </c>
      <c r="C36" s="1">
        <v>5606</v>
      </c>
      <c r="D36" s="1">
        <v>5858</v>
      </c>
      <c r="E36" s="1">
        <v>7488</v>
      </c>
      <c r="F36" s="1">
        <v>8539</v>
      </c>
    </row>
    <row r="37" spans="1:6" x14ac:dyDescent="0.2">
      <c r="A37" s="1" t="s">
        <v>40</v>
      </c>
      <c r="B37" s="1">
        <v>7230</v>
      </c>
      <c r="C37" s="1">
        <v>8021</v>
      </c>
      <c r="D37" s="1">
        <v>7899</v>
      </c>
      <c r="E37" s="1">
        <v>7300</v>
      </c>
      <c r="F37" s="1">
        <v>6145</v>
      </c>
    </row>
    <row r="38" spans="1:6" x14ac:dyDescent="0.2">
      <c r="A38" s="1" t="s">
        <v>41</v>
      </c>
      <c r="B38" s="1">
        <f>SUM(B29:B37)</f>
        <v>118525</v>
      </c>
      <c r="C38" s="1">
        <f>SUM(C29:C37)</f>
        <v>125311</v>
      </c>
      <c r="D38" s="1">
        <f>SUM(D29:D37)</f>
        <v>131309</v>
      </c>
      <c r="E38" s="1">
        <f>SUM(E29:E37)</f>
        <v>134646</v>
      </c>
      <c r="F38" s="1">
        <f>SUM(F29:F37)</f>
        <v>139375</v>
      </c>
    </row>
    <row r="40" spans="1:6" x14ac:dyDescent="0.2">
      <c r="A40" s="1" t="s">
        <v>42</v>
      </c>
      <c r="B40" s="1">
        <f>12147+12111</f>
        <v>24258</v>
      </c>
      <c r="C40" s="1">
        <f>12165+8075</f>
        <v>20240</v>
      </c>
      <c r="D40" s="1">
        <f>10520+11024</f>
        <v>21544</v>
      </c>
      <c r="E40" s="1">
        <f>10380+9359</f>
        <v>19739</v>
      </c>
      <c r="F40" s="1">
        <f>8923+13779</f>
        <v>22702</v>
      </c>
    </row>
    <row r="41" spans="1:6" x14ac:dyDescent="0.2">
      <c r="A41" s="1" t="s">
        <v>43</v>
      </c>
      <c r="B41" s="1">
        <f>11998+2381</f>
        <v>14379</v>
      </c>
      <c r="C41" s="1">
        <f>11887+2387</f>
        <v>14274</v>
      </c>
      <c r="D41" s="1">
        <f>12612+2659</f>
        <v>15271</v>
      </c>
      <c r="E41" s="1">
        <f>12776+2632</f>
        <v>15408</v>
      </c>
      <c r="F41" s="1">
        <f>12899+2558</f>
        <v>15457</v>
      </c>
    </row>
    <row r="42" spans="1:6" x14ac:dyDescent="0.2">
      <c r="A42" s="1" t="s">
        <v>45</v>
      </c>
      <c r="B42" s="1">
        <f>3652+12987</f>
        <v>16639</v>
      </c>
      <c r="C42" s="1">
        <f>3980+13677</f>
        <v>17657</v>
      </c>
      <c r="D42" s="1">
        <f>3770+12778</f>
        <v>16548</v>
      </c>
      <c r="E42" s="1">
        <f>12489+3902</f>
        <v>16391</v>
      </c>
      <c r="F42" s="1">
        <f>12710+3907</f>
        <v>16617</v>
      </c>
    </row>
    <row r="43" spans="1:6" x14ac:dyDescent="0.2">
      <c r="A43" s="1" t="s">
        <v>44</v>
      </c>
      <c r="B43" s="1">
        <v>7196</v>
      </c>
      <c r="C43" s="1">
        <v>6704</v>
      </c>
      <c r="D43" s="1">
        <v>6982</v>
      </c>
      <c r="E43" s="1">
        <v>6952</v>
      </c>
      <c r="F43" s="1">
        <v>7197</v>
      </c>
    </row>
    <row r="44" spans="1:6" x14ac:dyDescent="0.2">
      <c r="A44" s="1" t="s">
        <v>46</v>
      </c>
      <c r="B44" s="1">
        <v>5661</v>
      </c>
      <c r="C44" s="1">
        <v>7086</v>
      </c>
      <c r="D44" s="1">
        <v>7569</v>
      </c>
      <c r="E44" s="1">
        <v>8788</v>
      </c>
      <c r="F44" s="1">
        <v>8224</v>
      </c>
    </row>
    <row r="45" spans="1:6" x14ac:dyDescent="0.2">
      <c r="A45" s="1" t="s">
        <v>38</v>
      </c>
      <c r="B45" s="1">
        <v>979</v>
      </c>
      <c r="C45" s="1">
        <v>1267</v>
      </c>
      <c r="D45" s="1">
        <v>1396</v>
      </c>
      <c r="E45" s="1">
        <v>1211</v>
      </c>
      <c r="F45" s="1">
        <v>1328</v>
      </c>
    </row>
    <row r="46" spans="1:6" x14ac:dyDescent="0.2">
      <c r="A46" s="1" t="s">
        <v>47</v>
      </c>
      <c r="B46" s="1">
        <v>6788</v>
      </c>
      <c r="C46" s="1">
        <v>9174</v>
      </c>
      <c r="D46" s="1">
        <v>9286</v>
      </c>
      <c r="E46" s="1">
        <v>9553</v>
      </c>
      <c r="F46" s="1">
        <v>8401</v>
      </c>
    </row>
    <row r="47" spans="1:6" x14ac:dyDescent="0.2">
      <c r="A47" s="1" t="s">
        <v>48</v>
      </c>
      <c r="B47" s="1">
        <f>SUM(B40:B46)</f>
        <v>75900</v>
      </c>
      <c r="C47" s="1">
        <f>SUM(C40:C46)</f>
        <v>76402</v>
      </c>
      <c r="D47" s="1">
        <f>SUM(D40:D46)</f>
        <v>78596</v>
      </c>
      <c r="E47" s="1">
        <f>SUM(E40:E46)</f>
        <v>78042</v>
      </c>
      <c r="F47" s="1">
        <f>SUM(F40:F46)</f>
        <v>79926</v>
      </c>
    </row>
    <row r="48" spans="1:6" x14ac:dyDescent="0.2">
      <c r="A48" s="1" t="s">
        <v>49</v>
      </c>
      <c r="B48" s="1">
        <f>+B38-B47</f>
        <v>42625</v>
      </c>
      <c r="C48" s="1">
        <f>+C38-C47</f>
        <v>48909</v>
      </c>
      <c r="D48" s="1">
        <f>+D38-D47</f>
        <v>52713</v>
      </c>
      <c r="E48" s="1">
        <f>+E38-E47</f>
        <v>56604</v>
      </c>
      <c r="F48" s="1">
        <f>+F38-F47</f>
        <v>59449</v>
      </c>
    </row>
    <row r="49" spans="1:6" x14ac:dyDescent="0.2">
      <c r="A49" s="1" t="s">
        <v>50</v>
      </c>
      <c r="B49" s="1">
        <f>+B47+B48</f>
        <v>118525</v>
      </c>
      <c r="C49" s="1">
        <f>+C47+C48</f>
        <v>125311</v>
      </c>
      <c r="D49" s="1">
        <f>+D47+D48</f>
        <v>131309</v>
      </c>
      <c r="E49" s="1">
        <f>+E47+E48</f>
        <v>134646</v>
      </c>
      <c r="F49" s="1">
        <f>+F47+F48</f>
        <v>139375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2024-02-19T12:52:17Z</dcterms:created>
  <dcterms:modified xsi:type="dcterms:W3CDTF">2024-07-23T22:35:40Z</dcterms:modified>
</cp:coreProperties>
</file>