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CompanyResearchModels\Monday.com\"/>
    </mc:Choice>
  </mc:AlternateContent>
  <xr:revisionPtr revIDLastSave="0" documentId="13_ncr:1_{E9064953-3A57-4B56-8041-3A0E41D592F9}" xr6:coauthVersionLast="47" xr6:coauthVersionMax="47" xr10:uidLastSave="{00000000-0000-0000-0000-000000000000}"/>
  <bookViews>
    <workbookView xWindow="36765" yWindow="90" windowWidth="14550" windowHeight="15495" activeTab="1" xr2:uid="{11FA01F6-DA02-4F2C-8A49-4D1E7028A333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4" i="2" l="1"/>
  <c r="O23" i="2"/>
  <c r="O18" i="2"/>
  <c r="I31" i="2"/>
  <c r="H38" i="2"/>
  <c r="G38" i="2"/>
  <c r="F38" i="2"/>
  <c r="I38" i="2"/>
  <c r="I43" i="2"/>
  <c r="I42" i="2"/>
  <c r="I44" i="2" s="1"/>
  <c r="I46" i="2" s="1"/>
  <c r="H43" i="2"/>
  <c r="H42" i="2"/>
  <c r="H31" i="2"/>
  <c r="G43" i="2"/>
  <c r="G42" i="2"/>
  <c r="G31" i="2"/>
  <c r="F44" i="2"/>
  <c r="F46" i="2" s="1"/>
  <c r="F31" i="2"/>
  <c r="F43" i="2"/>
  <c r="F42" i="2"/>
  <c r="H44" i="2" l="1"/>
  <c r="H46" i="2" s="1"/>
  <c r="G44" i="2"/>
  <c r="G46" i="2" s="1"/>
  <c r="L8" i="2"/>
  <c r="L9" i="2" s="1"/>
  <c r="L6" i="2"/>
  <c r="M8" i="2"/>
  <c r="M9" i="2" s="1"/>
  <c r="M6" i="2"/>
  <c r="N8" i="2"/>
  <c r="N9" i="2" s="1"/>
  <c r="N6" i="2"/>
  <c r="O8" i="2"/>
  <c r="O9" i="2" s="1"/>
  <c r="O6" i="2"/>
  <c r="O10" i="2" s="1"/>
  <c r="O12" i="2" s="1"/>
  <c r="O14" i="2" s="1"/>
  <c r="O15" i="2" s="1"/>
  <c r="F19" i="2"/>
  <c r="G19" i="2"/>
  <c r="H19" i="2"/>
  <c r="I19" i="2"/>
  <c r="F18" i="2"/>
  <c r="G18" i="2"/>
  <c r="H18" i="2"/>
  <c r="I18" i="2"/>
  <c r="E8" i="2"/>
  <c r="E9" i="2" s="1"/>
  <c r="E6" i="2"/>
  <c r="I8" i="2"/>
  <c r="I9" i="2" s="1"/>
  <c r="I6" i="2"/>
  <c r="D8" i="2"/>
  <c r="D9" i="2" s="1"/>
  <c r="D6" i="2"/>
  <c r="D23" i="2" s="1"/>
  <c r="H8" i="2"/>
  <c r="H9" i="2" s="1"/>
  <c r="H6" i="2"/>
  <c r="H23" i="2" s="1"/>
  <c r="C8" i="2"/>
  <c r="C9" i="2" s="1"/>
  <c r="C6" i="2"/>
  <c r="G8" i="2"/>
  <c r="G9" i="2" s="1"/>
  <c r="G6" i="2"/>
  <c r="G23" i="2" s="1"/>
  <c r="F8" i="2"/>
  <c r="F9" i="2" s="1"/>
  <c r="F6" i="2"/>
  <c r="F23" i="2" s="1"/>
  <c r="B8" i="2"/>
  <c r="B9" i="2" s="1"/>
  <c r="B6" i="2"/>
  <c r="B23" i="2" s="1"/>
  <c r="C6" i="1"/>
  <c r="C9" i="1" s="1"/>
  <c r="I20" i="2" l="1"/>
  <c r="H20" i="2"/>
  <c r="F20" i="2"/>
  <c r="G20" i="2"/>
  <c r="L10" i="2"/>
  <c r="L12" i="2" s="1"/>
  <c r="M10" i="2"/>
  <c r="M12" i="2" s="1"/>
  <c r="N10" i="2"/>
  <c r="N12" i="2" s="1"/>
  <c r="N14" i="2" s="1"/>
  <c r="N15" i="2" s="1"/>
  <c r="E10" i="2"/>
  <c r="E23" i="2"/>
  <c r="I10" i="2"/>
  <c r="I23" i="2"/>
  <c r="D10" i="2"/>
  <c r="H10" i="2"/>
  <c r="C10" i="2"/>
  <c r="C23" i="2"/>
  <c r="G10" i="2"/>
  <c r="F10" i="2"/>
  <c r="F24" i="2" s="1"/>
  <c r="B10" i="2"/>
  <c r="M14" i="2" l="1"/>
  <c r="M15" i="2" s="1"/>
  <c r="L14" i="2"/>
  <c r="L15" i="2" s="1"/>
  <c r="E24" i="2"/>
  <c r="E12" i="2"/>
  <c r="I24" i="2"/>
  <c r="I12" i="2"/>
  <c r="D24" i="2"/>
  <c r="D12" i="2"/>
  <c r="H24" i="2"/>
  <c r="H12" i="2"/>
  <c r="C12" i="2"/>
  <c r="C24" i="2"/>
  <c r="G24" i="2"/>
  <c r="G12" i="2"/>
  <c r="F12" i="2"/>
  <c r="F14" i="2" s="1"/>
  <c r="B24" i="2"/>
  <c r="B12" i="2"/>
  <c r="E26" i="2" l="1"/>
  <c r="E14" i="2"/>
  <c r="I26" i="2"/>
  <c r="I14" i="2"/>
  <c r="D26" i="2"/>
  <c r="D14" i="2"/>
  <c r="H14" i="2"/>
  <c r="H26" i="2"/>
  <c r="C26" i="2"/>
  <c r="C14" i="2"/>
  <c r="G14" i="2"/>
  <c r="G26" i="2"/>
  <c r="F26" i="2"/>
  <c r="F25" i="2"/>
  <c r="F15" i="2"/>
  <c r="B26" i="2"/>
  <c r="B14" i="2"/>
  <c r="F21" i="2" s="1"/>
  <c r="H21" i="2" l="1"/>
  <c r="G21" i="2"/>
  <c r="I21" i="2"/>
  <c r="E25" i="2"/>
  <c r="E15" i="2"/>
  <c r="I25" i="2"/>
  <c r="I15" i="2"/>
  <c r="D15" i="2"/>
  <c r="D25" i="2"/>
  <c r="H15" i="2"/>
  <c r="H25" i="2"/>
  <c r="C25" i="2"/>
  <c r="C15" i="2"/>
  <c r="G15" i="2"/>
  <c r="G25" i="2"/>
  <c r="B15" i="2"/>
  <c r="B25" i="2"/>
</calcChain>
</file>

<file path=xl/sharedStrings.xml><?xml version="1.0" encoding="utf-8"?>
<sst xmlns="http://schemas.openxmlformats.org/spreadsheetml/2006/main" count="64" uniqueCount="55">
  <si>
    <t>Monday.com</t>
  </si>
  <si>
    <t>Cash</t>
  </si>
  <si>
    <t>Debt</t>
  </si>
  <si>
    <t>Price</t>
  </si>
  <si>
    <t>Shares</t>
  </si>
  <si>
    <t>MC</t>
  </si>
  <si>
    <t>EV</t>
  </si>
  <si>
    <t>(in millions)</t>
  </si>
  <si>
    <t>Revenu</t>
  </si>
  <si>
    <t>COGS</t>
  </si>
  <si>
    <t>Gross profit</t>
  </si>
  <si>
    <t>R&amp;D</t>
  </si>
  <si>
    <t>Operating expenses</t>
  </si>
  <si>
    <t>SG&amp;A</t>
  </si>
  <si>
    <t>Operating loss</t>
  </si>
  <si>
    <t>Interest income</t>
  </si>
  <si>
    <t>Pretax income</t>
  </si>
  <si>
    <t>Taxes</t>
  </si>
  <si>
    <t>EPS</t>
  </si>
  <si>
    <t>March 31,</t>
  </si>
  <si>
    <t>Q122</t>
  </si>
  <si>
    <t>Q222</t>
  </si>
  <si>
    <t>Q322</t>
  </si>
  <si>
    <t>Q422</t>
  </si>
  <si>
    <t>Q123</t>
  </si>
  <si>
    <t>Q223</t>
  </si>
  <si>
    <t>Q323</t>
  </si>
  <si>
    <t>Q423</t>
  </si>
  <si>
    <t>Gross margin %</t>
  </si>
  <si>
    <t>Operating margin %</t>
  </si>
  <si>
    <t>Net Margin %</t>
  </si>
  <si>
    <t>Tax Rate %</t>
  </si>
  <si>
    <t>Income statement</t>
  </si>
  <si>
    <t>June 30,</t>
  </si>
  <si>
    <t>September 30,</t>
  </si>
  <si>
    <t>December 31,</t>
  </si>
  <si>
    <t>Revenue y/y</t>
  </si>
  <si>
    <t>R&amp;D y/y</t>
  </si>
  <si>
    <t>SG&amp;A y/y</t>
  </si>
  <si>
    <t>Net income y/y</t>
  </si>
  <si>
    <t>Net cash</t>
  </si>
  <si>
    <t>A/R</t>
  </si>
  <si>
    <t>PP&amp;E</t>
  </si>
  <si>
    <t>O/L roua</t>
  </si>
  <si>
    <t>OLTA</t>
  </si>
  <si>
    <t>A/P</t>
  </si>
  <si>
    <t>D/R</t>
  </si>
  <si>
    <t>O/L</t>
  </si>
  <si>
    <t>S/E</t>
  </si>
  <si>
    <t>S+L/E</t>
  </si>
  <si>
    <t>Accrued expenses</t>
  </si>
  <si>
    <t>Prepaid expenses</t>
  </si>
  <si>
    <t>Total assets</t>
  </si>
  <si>
    <t>Total liabilities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</si>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</sst>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,,"/>
  </numFmts>
  <fonts count="6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sz val="28"/>
      <color theme="1"/>
      <name val="Aptos Narrow"/>
      <family val="2"/>
      <scheme val="minor"/>
    </font>
    <font>
      <b/>
      <sz val="10"/>
      <color theme="1"/>
      <name val="Arial"/>
      <family val="2"/>
    </font>
    <font>
      <sz val="2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3" fontId="0" fillId="0" borderId="0" xfId="0" applyNumberFormat="1"/>
    <xf numFmtId="164" fontId="0" fillId="0" borderId="0" xfId="0" applyNumberFormat="1"/>
    <xf numFmtId="0" fontId="5" fillId="0" borderId="0" xfId="0" applyFont="1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4" fillId="0" borderId="0" xfId="0" applyFont="1"/>
    <xf numFmtId="164" fontId="4" fillId="0" borderId="0" xfId="0" applyNumberFormat="1" applyFont="1"/>
    <xf numFmtId="164" fontId="1" fillId="0" borderId="0" xfId="0" applyNumberFormat="1" applyFont="1"/>
    <xf numFmtId="2" fontId="1" fillId="0" borderId="0" xfId="0" applyNumberFormat="1" applyFont="1"/>
    <xf numFmtId="2" fontId="1" fillId="0" borderId="0" xfId="1" applyNumberFormat="1" applyFont="1"/>
    <xf numFmtId="3" fontId="1" fillId="0" borderId="0" xfId="0" applyNumberFormat="1" applyFont="1"/>
    <xf numFmtId="9" fontId="4" fillId="0" borderId="0" xfId="1" applyFont="1"/>
    <xf numFmtId="9" fontId="1" fillId="0" borderId="0" xfId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BE3D2-7BC5-4DCE-B844-6A66A21FC773}">
  <dimension ref="A1:C9"/>
  <sheetViews>
    <sheetView workbookViewId="0">
      <selection activeCell="C5" sqref="C5"/>
    </sheetView>
  </sheetViews>
  <sheetFormatPr defaultRowHeight="15" x14ac:dyDescent="0.25"/>
  <cols>
    <col min="1" max="1" width="30" bestFit="1" customWidth="1"/>
    <col min="2" max="2" width="10.42578125" customWidth="1"/>
  </cols>
  <sheetData>
    <row r="1" spans="1:3" ht="36" x14ac:dyDescent="0.55000000000000004">
      <c r="A1" s="1" t="s">
        <v>0</v>
      </c>
    </row>
    <row r="3" spans="1:3" x14ac:dyDescent="0.25">
      <c r="A3" t="s">
        <v>7</v>
      </c>
    </row>
    <row r="4" spans="1:3" x14ac:dyDescent="0.25">
      <c r="B4" t="s">
        <v>3</v>
      </c>
      <c r="C4" s="2">
        <v>229</v>
      </c>
    </row>
    <row r="5" spans="1:3" x14ac:dyDescent="0.25">
      <c r="B5" t="s">
        <v>4</v>
      </c>
      <c r="C5" s="3">
        <v>51607542</v>
      </c>
    </row>
    <row r="6" spans="1:3" x14ac:dyDescent="0.25">
      <c r="B6" t="s">
        <v>5</v>
      </c>
      <c r="C6" s="3">
        <f>+C5*C4</f>
        <v>11818127118</v>
      </c>
    </row>
    <row r="7" spans="1:3" x14ac:dyDescent="0.25">
      <c r="B7" t="s">
        <v>1</v>
      </c>
      <c r="C7" s="3">
        <v>1116128000</v>
      </c>
    </row>
    <row r="8" spans="1:3" x14ac:dyDescent="0.25">
      <c r="B8" t="s">
        <v>2</v>
      </c>
      <c r="C8" s="3">
        <v>0</v>
      </c>
    </row>
    <row r="9" spans="1:3" x14ac:dyDescent="0.25">
      <c r="B9" t="s">
        <v>6</v>
      </c>
      <c r="C9" s="3">
        <f>+C6-C7</f>
        <v>10701999118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E62F3-5000-4CCF-9B0F-D29C51565978}">
  <dimension ref="A1:O46"/>
  <sheetViews>
    <sheetView tabSelected="1" workbookViewId="0">
      <pane xSplit="1" ySplit="3" topLeftCell="G4" activePane="bottomRight" state="frozen"/>
      <selection pane="topRight" activeCell="B1" sqref="B1"/>
      <selection pane="bottomLeft" activeCell="A4" sqref="A4"/>
      <selection pane="bottomRight" activeCell="O25" sqref="O25"/>
    </sheetView>
  </sheetViews>
  <sheetFormatPr defaultRowHeight="12.75" x14ac:dyDescent="0.2"/>
  <cols>
    <col min="1" max="1" width="33.140625" style="5" bestFit="1" customWidth="1"/>
    <col min="2" max="2" width="12.5703125" style="5" bestFit="1" customWidth="1"/>
    <col min="3" max="3" width="11.28515625" style="5" bestFit="1" customWidth="1"/>
    <col min="4" max="4" width="13.85546875" style="5" bestFit="1" customWidth="1"/>
    <col min="5" max="5" width="13.140625" style="5" bestFit="1" customWidth="1"/>
    <col min="6" max="7" width="11.28515625" style="5" bestFit="1" customWidth="1"/>
    <col min="8" max="8" width="13.85546875" style="5" bestFit="1" customWidth="1"/>
    <col min="9" max="9" width="13.140625" style="5" bestFit="1" customWidth="1"/>
    <col min="10" max="11" width="9.140625" style="5"/>
    <col min="12" max="15" width="11.28515625" style="5" bestFit="1" customWidth="1"/>
    <col min="16" max="16384" width="9.140625" style="5"/>
  </cols>
  <sheetData>
    <row r="1" spans="1:15" ht="34.5" x14ac:dyDescent="0.45">
      <c r="A1" s="4" t="s">
        <v>0</v>
      </c>
    </row>
    <row r="2" spans="1:15" s="6" customFormat="1" x14ac:dyDescent="0.2">
      <c r="A2" s="5" t="s">
        <v>7</v>
      </c>
      <c r="B2" s="6" t="s">
        <v>19</v>
      </c>
      <c r="C2" s="6" t="s">
        <v>33</v>
      </c>
      <c r="D2" s="6" t="s">
        <v>34</v>
      </c>
      <c r="E2" s="6" t="s">
        <v>35</v>
      </c>
      <c r="F2" s="6" t="s">
        <v>19</v>
      </c>
      <c r="G2" s="6" t="s">
        <v>33</v>
      </c>
      <c r="H2" s="6" t="s">
        <v>34</v>
      </c>
      <c r="I2" s="6" t="s">
        <v>35</v>
      </c>
    </row>
    <row r="3" spans="1:15" s="8" customFormat="1" x14ac:dyDescent="0.2">
      <c r="A3" s="7" t="s">
        <v>32</v>
      </c>
      <c r="B3" s="8" t="s">
        <v>20</v>
      </c>
      <c r="C3" s="8" t="s">
        <v>21</v>
      </c>
      <c r="D3" s="8" t="s">
        <v>22</v>
      </c>
      <c r="E3" s="8" t="s">
        <v>23</v>
      </c>
      <c r="F3" s="8" t="s">
        <v>24</v>
      </c>
      <c r="G3" s="8" t="s">
        <v>25</v>
      </c>
      <c r="H3" s="8" t="s">
        <v>26</v>
      </c>
      <c r="I3" s="8" t="s">
        <v>27</v>
      </c>
      <c r="L3" s="6">
        <v>2020</v>
      </c>
      <c r="M3" s="6">
        <v>2021</v>
      </c>
      <c r="N3" s="6">
        <v>2022</v>
      </c>
      <c r="O3" s="6">
        <v>2023</v>
      </c>
    </row>
    <row r="4" spans="1:15" s="9" customFormat="1" x14ac:dyDescent="0.2">
      <c r="A4" s="9" t="s">
        <v>8</v>
      </c>
      <c r="B4" s="10">
        <v>108497000</v>
      </c>
      <c r="C4" s="10">
        <v>123718000</v>
      </c>
      <c r="D4" s="10">
        <v>136893000</v>
      </c>
      <c r="E4" s="10">
        <v>149921000</v>
      </c>
      <c r="F4" s="10">
        <v>162256000</v>
      </c>
      <c r="G4" s="10">
        <v>175679000</v>
      </c>
      <c r="H4" s="10">
        <v>189190000</v>
      </c>
      <c r="I4" s="10">
        <v>202570000</v>
      </c>
      <c r="L4" s="10">
        <v>161123000</v>
      </c>
      <c r="M4" s="10">
        <v>308150000</v>
      </c>
      <c r="N4" s="10">
        <v>519029000</v>
      </c>
      <c r="O4" s="10">
        <v>729695000</v>
      </c>
    </row>
    <row r="5" spans="1:15" x14ac:dyDescent="0.2">
      <c r="A5" s="5" t="s">
        <v>9</v>
      </c>
      <c r="B5" s="11">
        <v>14609000</v>
      </c>
      <c r="C5" s="11">
        <v>16730000</v>
      </c>
      <c r="D5" s="11">
        <v>17830000</v>
      </c>
      <c r="E5" s="11">
        <v>17359000</v>
      </c>
      <c r="F5" s="11">
        <v>17014000</v>
      </c>
      <c r="G5" s="11">
        <v>19516000</v>
      </c>
      <c r="H5" s="11">
        <v>21707000</v>
      </c>
      <c r="I5" s="11">
        <v>22408000</v>
      </c>
      <c r="L5" s="11">
        <v>22488000</v>
      </c>
      <c r="M5" s="11">
        <v>39013000</v>
      </c>
      <c r="N5" s="11">
        <v>66528000</v>
      </c>
      <c r="O5" s="11">
        <v>80645000</v>
      </c>
    </row>
    <row r="6" spans="1:15" x14ac:dyDescent="0.2">
      <c r="A6" s="5" t="s">
        <v>10</v>
      </c>
      <c r="B6" s="11">
        <f t="shared" ref="B6:I6" si="0">+B4-B5</f>
        <v>93888000</v>
      </c>
      <c r="C6" s="11">
        <f t="shared" si="0"/>
        <v>106988000</v>
      </c>
      <c r="D6" s="11">
        <f t="shared" si="0"/>
        <v>119063000</v>
      </c>
      <c r="E6" s="11">
        <f t="shared" si="0"/>
        <v>132562000</v>
      </c>
      <c r="F6" s="11">
        <f t="shared" si="0"/>
        <v>145242000</v>
      </c>
      <c r="G6" s="11">
        <f t="shared" si="0"/>
        <v>156163000</v>
      </c>
      <c r="H6" s="11">
        <f t="shared" si="0"/>
        <v>167483000</v>
      </c>
      <c r="I6" s="11">
        <f t="shared" si="0"/>
        <v>180162000</v>
      </c>
      <c r="L6" s="11">
        <f>+L4-L5</f>
        <v>138635000</v>
      </c>
      <c r="M6" s="11">
        <f>+M4-M5</f>
        <v>269137000</v>
      </c>
      <c r="N6" s="11">
        <f>+N4-N5</f>
        <v>452501000</v>
      </c>
      <c r="O6" s="11">
        <f>+O4-O5</f>
        <v>649050000</v>
      </c>
    </row>
    <row r="7" spans="1:15" x14ac:dyDescent="0.2">
      <c r="A7" s="5" t="s">
        <v>11</v>
      </c>
      <c r="B7" s="11">
        <v>26541000</v>
      </c>
      <c r="C7" s="11">
        <v>33962000</v>
      </c>
      <c r="D7" s="11">
        <v>33984000</v>
      </c>
      <c r="E7" s="11">
        <v>32560000</v>
      </c>
      <c r="F7" s="11">
        <v>37063000</v>
      </c>
      <c r="G7" s="11">
        <v>39106000</v>
      </c>
      <c r="H7" s="11">
        <v>38433000</v>
      </c>
      <c r="I7" s="11">
        <v>41898000</v>
      </c>
      <c r="L7" s="11">
        <v>43480000</v>
      </c>
      <c r="M7" s="11">
        <v>73686000</v>
      </c>
      <c r="N7" s="11">
        <v>127047000</v>
      </c>
      <c r="O7" s="11">
        <v>156500000</v>
      </c>
    </row>
    <row r="8" spans="1:15" x14ac:dyDescent="0.2">
      <c r="A8" s="5" t="s">
        <v>13</v>
      </c>
      <c r="B8" s="11">
        <f>115973000+18870000</f>
        <v>134843000</v>
      </c>
      <c r="C8" s="11">
        <f>96740000+22466000</f>
        <v>119206000</v>
      </c>
      <c r="D8" s="11">
        <f>90970000+22348000</f>
        <v>113318000</v>
      </c>
      <c r="E8" s="11">
        <f>88385000+21717000</f>
        <v>110102000</v>
      </c>
      <c r="F8" s="11">
        <f>107680000+23251000</f>
        <v>130931000</v>
      </c>
      <c r="G8" s="11">
        <f>107443000+21781000</f>
        <v>129224000</v>
      </c>
      <c r="H8" s="11">
        <f>108360000+23211000</f>
        <v>131571000</v>
      </c>
      <c r="I8" s="11">
        <f>114919000+24490000</f>
        <v>139409000</v>
      </c>
      <c r="L8" s="11">
        <f>191353000+54339000</f>
        <v>245692000</v>
      </c>
      <c r="M8" s="11">
        <f>268083000+53493000</f>
        <v>321576000</v>
      </c>
      <c r="N8" s="11">
        <f>392068000+85401000</f>
        <v>477469000</v>
      </c>
      <c r="O8" s="11">
        <f>438402000+92733000</f>
        <v>531135000</v>
      </c>
    </row>
    <row r="9" spans="1:15" x14ac:dyDescent="0.2">
      <c r="A9" s="5" t="s">
        <v>12</v>
      </c>
      <c r="B9" s="11">
        <f t="shared" ref="B9:I9" si="1">+B8+B7</f>
        <v>161384000</v>
      </c>
      <c r="C9" s="11">
        <f t="shared" si="1"/>
        <v>153168000</v>
      </c>
      <c r="D9" s="11">
        <f t="shared" si="1"/>
        <v>147302000</v>
      </c>
      <c r="E9" s="11">
        <f t="shared" si="1"/>
        <v>142662000</v>
      </c>
      <c r="F9" s="11">
        <f t="shared" si="1"/>
        <v>167994000</v>
      </c>
      <c r="G9" s="11">
        <f t="shared" si="1"/>
        <v>168330000</v>
      </c>
      <c r="H9" s="11">
        <f t="shared" si="1"/>
        <v>170004000</v>
      </c>
      <c r="I9" s="11">
        <f t="shared" si="1"/>
        <v>181307000</v>
      </c>
      <c r="L9" s="11">
        <f>+L8+L7</f>
        <v>289172000</v>
      </c>
      <c r="M9" s="11">
        <f>+M8+M7</f>
        <v>395262000</v>
      </c>
      <c r="N9" s="11">
        <f>+N8+N7</f>
        <v>604516000</v>
      </c>
      <c r="O9" s="11">
        <f>+O8+O7</f>
        <v>687635000</v>
      </c>
    </row>
    <row r="10" spans="1:15" s="9" customFormat="1" x14ac:dyDescent="0.2">
      <c r="A10" s="9" t="s">
        <v>14</v>
      </c>
      <c r="B10" s="10">
        <f t="shared" ref="B10:I10" si="2">+B6-B9</f>
        <v>-67496000</v>
      </c>
      <c r="C10" s="10">
        <f t="shared" si="2"/>
        <v>-46180000</v>
      </c>
      <c r="D10" s="10">
        <f t="shared" si="2"/>
        <v>-28239000</v>
      </c>
      <c r="E10" s="10">
        <f t="shared" si="2"/>
        <v>-10100000</v>
      </c>
      <c r="F10" s="10">
        <f t="shared" si="2"/>
        <v>-22752000</v>
      </c>
      <c r="G10" s="10">
        <f t="shared" si="2"/>
        <v>-12167000</v>
      </c>
      <c r="H10" s="10">
        <f t="shared" si="2"/>
        <v>-2521000</v>
      </c>
      <c r="I10" s="10">
        <f t="shared" si="2"/>
        <v>-1145000</v>
      </c>
      <c r="L10" s="10">
        <f>+L6-L9</f>
        <v>-150537000</v>
      </c>
      <c r="M10" s="10">
        <f>+M6-M9</f>
        <v>-126125000</v>
      </c>
      <c r="N10" s="10">
        <f>+N6-N9</f>
        <v>-152015000</v>
      </c>
      <c r="O10" s="10">
        <f>+O6-O9</f>
        <v>-38585000</v>
      </c>
    </row>
    <row r="11" spans="1:15" x14ac:dyDescent="0.2">
      <c r="A11" s="5" t="s">
        <v>15</v>
      </c>
      <c r="B11" s="11">
        <v>1993000</v>
      </c>
      <c r="C11" s="11">
        <v>2452000</v>
      </c>
      <c r="D11" s="11">
        <v>6972000</v>
      </c>
      <c r="E11" s="11">
        <v>11137000</v>
      </c>
      <c r="F11" s="11">
        <v>9883000</v>
      </c>
      <c r="G11" s="11">
        <v>7612000</v>
      </c>
      <c r="H11" s="11">
        <v>11555000</v>
      </c>
      <c r="I11" s="11">
        <v>12861000</v>
      </c>
      <c r="L11" s="11">
        <v>526000</v>
      </c>
      <c r="M11" s="11">
        <v>-838000</v>
      </c>
      <c r="N11" s="11">
        <v>22554000</v>
      </c>
      <c r="O11" s="11">
        <v>41911000</v>
      </c>
    </row>
    <row r="12" spans="1:15" x14ac:dyDescent="0.2">
      <c r="A12" s="5" t="s">
        <v>16</v>
      </c>
      <c r="B12" s="11">
        <f t="shared" ref="B12:I12" si="3">+B10+B11</f>
        <v>-65503000</v>
      </c>
      <c r="C12" s="11">
        <f t="shared" si="3"/>
        <v>-43728000</v>
      </c>
      <c r="D12" s="11">
        <f t="shared" si="3"/>
        <v>-21267000</v>
      </c>
      <c r="E12" s="11">
        <f t="shared" si="3"/>
        <v>1037000</v>
      </c>
      <c r="F12" s="11">
        <f t="shared" si="3"/>
        <v>-12869000</v>
      </c>
      <c r="G12" s="11">
        <f t="shared" si="3"/>
        <v>-4555000</v>
      </c>
      <c r="H12" s="11">
        <f t="shared" si="3"/>
        <v>9034000</v>
      </c>
      <c r="I12" s="11">
        <f t="shared" si="3"/>
        <v>11716000</v>
      </c>
      <c r="L12" s="11">
        <f>+L10+L11</f>
        <v>-150011000</v>
      </c>
      <c r="M12" s="11">
        <f>+M10+M11</f>
        <v>-126963000</v>
      </c>
      <c r="N12" s="11">
        <f>+N10+N11</f>
        <v>-129461000</v>
      </c>
      <c r="O12" s="11">
        <f>+O10+O11</f>
        <v>3326000</v>
      </c>
    </row>
    <row r="13" spans="1:15" x14ac:dyDescent="0.2">
      <c r="A13" s="5" t="s">
        <v>17</v>
      </c>
      <c r="B13" s="11">
        <v>-1175000</v>
      </c>
      <c r="C13" s="11">
        <v>-1943000</v>
      </c>
      <c r="D13" s="11">
        <v>-1763000</v>
      </c>
      <c r="E13" s="11">
        <v>-2525000</v>
      </c>
      <c r="F13" s="11">
        <v>-1798000</v>
      </c>
      <c r="G13" s="11">
        <v>-2480000</v>
      </c>
      <c r="H13" s="11">
        <v>-1546000</v>
      </c>
      <c r="I13" s="11">
        <v>621000</v>
      </c>
      <c r="L13" s="11">
        <v>-2192000</v>
      </c>
      <c r="M13" s="11">
        <v>-2331000</v>
      </c>
      <c r="N13" s="11">
        <v>-7406000</v>
      </c>
      <c r="O13" s="11">
        <v>-5203000</v>
      </c>
    </row>
    <row r="14" spans="1:15" s="9" customFormat="1" x14ac:dyDescent="0.2">
      <c r="A14" s="9" t="s">
        <v>54</v>
      </c>
      <c r="B14" s="10">
        <f t="shared" ref="B14:I14" si="4">+B12+B13</f>
        <v>-66678000</v>
      </c>
      <c r="C14" s="10">
        <f t="shared" si="4"/>
        <v>-45671000</v>
      </c>
      <c r="D14" s="10">
        <f t="shared" si="4"/>
        <v>-23030000</v>
      </c>
      <c r="E14" s="10">
        <f t="shared" si="4"/>
        <v>-1488000</v>
      </c>
      <c r="F14" s="10">
        <f t="shared" si="4"/>
        <v>-14667000</v>
      </c>
      <c r="G14" s="10">
        <f t="shared" si="4"/>
        <v>-7035000</v>
      </c>
      <c r="H14" s="10">
        <f t="shared" si="4"/>
        <v>7488000</v>
      </c>
      <c r="I14" s="10">
        <f t="shared" si="4"/>
        <v>12337000</v>
      </c>
      <c r="L14" s="10">
        <f>+L12+L13-18713000</f>
        <v>-170916000</v>
      </c>
      <c r="M14" s="10">
        <f>+M12+M13-8203000</f>
        <v>-137497000</v>
      </c>
      <c r="N14" s="10">
        <f>+N12+N13</f>
        <v>-136867000</v>
      </c>
      <c r="O14" s="10">
        <f>+O12+O13</f>
        <v>-1877000</v>
      </c>
    </row>
    <row r="15" spans="1:15" x14ac:dyDescent="0.2">
      <c r="A15" s="5" t="s">
        <v>18</v>
      </c>
      <c r="B15" s="12">
        <f t="shared" ref="B15:I15" si="5">+B14/B16</f>
        <v>-1.482428625301458</v>
      </c>
      <c r="C15" s="12">
        <f t="shared" si="5"/>
        <v>-1.0132243852189884</v>
      </c>
      <c r="D15" s="12">
        <f t="shared" si="5"/>
        <v>-0.50640088074613276</v>
      </c>
      <c r="E15" s="12">
        <f t="shared" si="5"/>
        <v>-3.1221704019336979E-2</v>
      </c>
      <c r="F15" s="12">
        <f t="shared" si="5"/>
        <v>-0.30612147142929924</v>
      </c>
      <c r="G15" s="12">
        <f t="shared" si="5"/>
        <v>-0.14592699099436518</v>
      </c>
      <c r="H15" s="12">
        <f t="shared" si="5"/>
        <v>0.14550624426406047</v>
      </c>
      <c r="I15" s="12">
        <f t="shared" si="5"/>
        <v>0.23905420645687794</v>
      </c>
      <c r="L15" s="13">
        <f>+L14/L16</f>
        <v>-14.185184733323158</v>
      </c>
      <c r="M15" s="13">
        <f>+M14/M16</f>
        <v>-4.5330664908875464</v>
      </c>
      <c r="N15" s="13">
        <f>+N14/N16</f>
        <v>-2.9880548975810655</v>
      </c>
      <c r="O15" s="13">
        <f>+O14/O16</f>
        <v>-3.8807950432012919E-2</v>
      </c>
    </row>
    <row r="16" spans="1:15" s="14" customFormat="1" x14ac:dyDescent="0.2">
      <c r="A16" s="14" t="s">
        <v>4</v>
      </c>
      <c r="B16" s="14">
        <v>44978894</v>
      </c>
      <c r="C16" s="14">
        <v>45074912</v>
      </c>
      <c r="D16" s="14">
        <v>45477804</v>
      </c>
      <c r="E16" s="14">
        <v>47659154</v>
      </c>
      <c r="F16" s="14">
        <v>47912353</v>
      </c>
      <c r="G16" s="14">
        <v>48209039</v>
      </c>
      <c r="H16" s="14">
        <v>51461709</v>
      </c>
      <c r="I16" s="14">
        <v>51607542</v>
      </c>
      <c r="L16" s="14">
        <v>12048909</v>
      </c>
      <c r="M16" s="14">
        <v>30332006</v>
      </c>
      <c r="N16" s="14">
        <v>45804714</v>
      </c>
      <c r="O16" s="14">
        <v>48366378</v>
      </c>
    </row>
    <row r="17" spans="1:15" s="14" customFormat="1" x14ac:dyDescent="0.2"/>
    <row r="18" spans="1:15" s="15" customFormat="1" x14ac:dyDescent="0.2">
      <c r="A18" s="15" t="s">
        <v>36</v>
      </c>
      <c r="F18" s="15">
        <f>+F4/B4-1</f>
        <v>0.4954883545167148</v>
      </c>
      <c r="G18" s="15">
        <f>+G4/C4-1</f>
        <v>0.41999547357700573</v>
      </c>
      <c r="H18" s="15">
        <f>+H4/D4-1</f>
        <v>0.38202829947477235</v>
      </c>
      <c r="I18" s="15">
        <f>+I4/E4-1</f>
        <v>0.3511782872312752</v>
      </c>
      <c r="O18" s="15">
        <f>+O4/N4-1</f>
        <v>0.4058848349514188</v>
      </c>
    </row>
    <row r="19" spans="1:15" s="16" customFormat="1" x14ac:dyDescent="0.2">
      <c r="A19" s="16" t="s">
        <v>37</v>
      </c>
      <c r="F19" s="16">
        <f t="shared" ref="F19:I20" si="6">+F7/B7-1</f>
        <v>0.39644323876266907</v>
      </c>
      <c r="G19" s="16">
        <f t="shared" si="6"/>
        <v>0.151463400270891</v>
      </c>
      <c r="H19" s="16">
        <f t="shared" si="6"/>
        <v>0.13091454802259883</v>
      </c>
      <c r="I19" s="16">
        <f t="shared" si="6"/>
        <v>0.28679361179361185</v>
      </c>
    </row>
    <row r="20" spans="1:15" s="16" customFormat="1" x14ac:dyDescent="0.2">
      <c r="A20" s="16" t="s">
        <v>38</v>
      </c>
      <c r="F20" s="16">
        <f t="shared" si="6"/>
        <v>-2.9011517097661699E-2</v>
      </c>
      <c r="G20" s="16">
        <f t="shared" si="6"/>
        <v>8.40393939902353E-2</v>
      </c>
      <c r="H20" s="16">
        <f t="shared" si="6"/>
        <v>0.16107767521488192</v>
      </c>
      <c r="I20" s="16">
        <f t="shared" si="6"/>
        <v>0.26618045085466213</v>
      </c>
    </row>
    <row r="21" spans="1:15" s="15" customFormat="1" x14ac:dyDescent="0.2">
      <c r="A21" s="15" t="s">
        <v>39</v>
      </c>
      <c r="F21" s="15">
        <f>+F14/B14-1</f>
        <v>-0.78003239449293615</v>
      </c>
      <c r="G21" s="15">
        <f>+G14/C14-1</f>
        <v>-0.84596352170961886</v>
      </c>
      <c r="H21" s="15">
        <f>+H14/D14-1</f>
        <v>-1.3251411202778984</v>
      </c>
      <c r="I21" s="15">
        <f>+I14/E14-1</f>
        <v>-9.290994623655914</v>
      </c>
    </row>
    <row r="22" spans="1:15" x14ac:dyDescent="0.2">
      <c r="A22" s="14"/>
    </row>
    <row r="23" spans="1:15" x14ac:dyDescent="0.2">
      <c r="A23" s="5" t="s">
        <v>28</v>
      </c>
      <c r="B23" s="16">
        <f t="shared" ref="B23:I23" si="7">+B6/B4</f>
        <v>0.86535111569905154</v>
      </c>
      <c r="C23" s="16">
        <f t="shared" si="7"/>
        <v>0.86477311304741433</v>
      </c>
      <c r="D23" s="16">
        <f t="shared" si="7"/>
        <v>0.86975228828354989</v>
      </c>
      <c r="E23" s="16">
        <f t="shared" si="7"/>
        <v>0.884212351838635</v>
      </c>
      <c r="F23" s="16">
        <f t="shared" si="7"/>
        <v>0.89514101173454297</v>
      </c>
      <c r="G23" s="16">
        <f t="shared" si="7"/>
        <v>0.88891102522213805</v>
      </c>
      <c r="H23" s="16">
        <f t="shared" si="7"/>
        <v>0.88526349172789265</v>
      </c>
      <c r="I23" s="16">
        <f t="shared" si="7"/>
        <v>0.88938144838821154</v>
      </c>
      <c r="L23" s="16"/>
      <c r="M23" s="16"/>
      <c r="N23" s="16"/>
      <c r="O23" s="16">
        <f>+O6/O4</f>
        <v>0.88948122160628751</v>
      </c>
    </row>
    <row r="24" spans="1:15" x14ac:dyDescent="0.2">
      <c r="A24" s="5" t="s">
        <v>29</v>
      </c>
      <c r="B24" s="16">
        <f t="shared" ref="B24:I24" si="8">+B10/B4</f>
        <v>-0.62210015023456866</v>
      </c>
      <c r="C24" s="16">
        <f t="shared" si="8"/>
        <v>-0.37326823905979728</v>
      </c>
      <c r="D24" s="16">
        <f t="shared" si="8"/>
        <v>-0.20628520085029914</v>
      </c>
      <c r="E24" s="16">
        <f t="shared" si="8"/>
        <v>-6.7368814242167535E-2</v>
      </c>
      <c r="F24" s="16">
        <f t="shared" si="8"/>
        <v>-0.1402228577063406</v>
      </c>
      <c r="G24" s="16">
        <f t="shared" si="8"/>
        <v>-6.9256997136823414E-2</v>
      </c>
      <c r="H24" s="16">
        <f t="shared" si="8"/>
        <v>-1.3325228606163116E-2</v>
      </c>
      <c r="I24" s="16">
        <f t="shared" si="8"/>
        <v>-5.65236708298366E-3</v>
      </c>
      <c r="L24" s="16"/>
      <c r="M24" s="16"/>
      <c r="N24" s="16"/>
      <c r="O24" s="16">
        <f>+O10/O4</f>
        <v>-5.2878257354099997E-2</v>
      </c>
    </row>
    <row r="25" spans="1:15" x14ac:dyDescent="0.2">
      <c r="A25" s="5" t="s">
        <v>30</v>
      </c>
      <c r="B25" s="16">
        <f t="shared" ref="B25:I25" si="9">+B14/B4</f>
        <v>-0.61456077126556496</v>
      </c>
      <c r="C25" s="16">
        <f t="shared" si="9"/>
        <v>-0.36915404387397144</v>
      </c>
      <c r="D25" s="16">
        <f t="shared" si="9"/>
        <v>-0.16823358389399021</v>
      </c>
      <c r="E25" s="16">
        <f t="shared" si="9"/>
        <v>-9.9252272863708212E-3</v>
      </c>
      <c r="F25" s="16">
        <f t="shared" si="9"/>
        <v>-9.0394191894290501E-2</v>
      </c>
      <c r="G25" s="16">
        <f t="shared" si="9"/>
        <v>-4.0044626847830417E-2</v>
      </c>
      <c r="H25" s="16">
        <f t="shared" si="9"/>
        <v>3.9579258946033091E-2</v>
      </c>
      <c r="I25" s="16">
        <f t="shared" si="9"/>
        <v>6.0902404107222197E-2</v>
      </c>
      <c r="L25" s="16"/>
      <c r="M25" s="16"/>
      <c r="N25" s="16"/>
      <c r="O25" s="16"/>
    </row>
    <row r="26" spans="1:15" x14ac:dyDescent="0.2">
      <c r="A26" s="5" t="s">
        <v>31</v>
      </c>
      <c r="B26" s="16">
        <f t="shared" ref="B26:I26" si="10">+B13/B12</f>
        <v>1.7938109704899011E-2</v>
      </c>
      <c r="C26" s="16">
        <f t="shared" si="10"/>
        <v>4.4433772411269667E-2</v>
      </c>
      <c r="D26" s="16">
        <f t="shared" si="10"/>
        <v>8.2898387172614843E-2</v>
      </c>
      <c r="E26" s="16">
        <f t="shared" si="10"/>
        <v>-2.4349083895853423</v>
      </c>
      <c r="F26" s="16">
        <f t="shared" si="10"/>
        <v>0.13971559561737509</v>
      </c>
      <c r="G26" s="16">
        <f t="shared" si="10"/>
        <v>0.54445664105378699</v>
      </c>
      <c r="H26" s="16">
        <f t="shared" si="10"/>
        <v>-0.17113128182421961</v>
      </c>
      <c r="I26" s="16">
        <f t="shared" si="10"/>
        <v>5.3004438374871968E-2</v>
      </c>
      <c r="L26" s="16"/>
      <c r="M26" s="16"/>
      <c r="N26" s="16"/>
      <c r="O26" s="16"/>
    </row>
    <row r="27" spans="1:15" x14ac:dyDescent="0.2">
      <c r="B27" s="16"/>
      <c r="C27" s="16"/>
      <c r="D27" s="16"/>
      <c r="E27" s="16"/>
      <c r="F27" s="16"/>
      <c r="G27" s="16"/>
      <c r="H27" s="16"/>
      <c r="I27" s="16"/>
    </row>
    <row r="28" spans="1:15" x14ac:dyDescent="0.2">
      <c r="B28" s="16"/>
      <c r="C28" s="16"/>
      <c r="D28" s="16"/>
      <c r="E28" s="16"/>
      <c r="F28" s="16"/>
      <c r="G28" s="16"/>
      <c r="H28" s="16"/>
      <c r="I28" s="16"/>
    </row>
    <row r="31" spans="1:15" x14ac:dyDescent="0.2">
      <c r="A31" s="5" t="s">
        <v>40</v>
      </c>
      <c r="F31" s="11">
        <f>+F32-F40</f>
        <v>935565000</v>
      </c>
      <c r="G31" s="11">
        <f>+G32-G40</f>
        <v>989377000</v>
      </c>
      <c r="H31" s="11">
        <f>+H32-H40</f>
        <v>1054270000</v>
      </c>
      <c r="I31" s="11">
        <f>+I32-I40</f>
        <v>1116128000</v>
      </c>
    </row>
    <row r="32" spans="1:15" x14ac:dyDescent="0.2">
      <c r="A32" s="5" t="s">
        <v>1</v>
      </c>
      <c r="F32" s="11">
        <v>935565000</v>
      </c>
      <c r="G32" s="11">
        <v>989377000</v>
      </c>
      <c r="H32" s="11">
        <v>1054270000</v>
      </c>
      <c r="I32" s="11">
        <v>1116128000</v>
      </c>
    </row>
    <row r="33" spans="1:9" x14ac:dyDescent="0.2">
      <c r="A33" s="5" t="s">
        <v>41</v>
      </c>
      <c r="F33" s="11">
        <v>18986000</v>
      </c>
      <c r="G33" s="11">
        <v>15136000</v>
      </c>
      <c r="H33" s="11">
        <v>13806000</v>
      </c>
      <c r="I33" s="11">
        <v>17911000</v>
      </c>
    </row>
    <row r="34" spans="1:9" x14ac:dyDescent="0.2">
      <c r="A34" s="5" t="s">
        <v>51</v>
      </c>
      <c r="F34" s="11">
        <v>28820000</v>
      </c>
      <c r="G34" s="11">
        <v>27398000</v>
      </c>
      <c r="H34" s="11">
        <v>27909000</v>
      </c>
      <c r="I34" s="11">
        <v>39103000</v>
      </c>
    </row>
    <row r="35" spans="1:9" x14ac:dyDescent="0.2">
      <c r="A35" s="5" t="s">
        <v>42</v>
      </c>
      <c r="F35" s="11">
        <v>36766000</v>
      </c>
      <c r="G35" s="11">
        <v>36481000</v>
      </c>
      <c r="H35" s="11">
        <v>36456000</v>
      </c>
      <c r="I35" s="11">
        <v>37418000</v>
      </c>
    </row>
    <row r="36" spans="1:9" x14ac:dyDescent="0.2">
      <c r="A36" s="5" t="s">
        <v>43</v>
      </c>
      <c r="F36" s="11">
        <v>76865000</v>
      </c>
      <c r="G36" s="11">
        <v>71872000</v>
      </c>
      <c r="H36" s="11">
        <v>67352000</v>
      </c>
      <c r="I36" s="11">
        <v>62280000</v>
      </c>
    </row>
    <row r="37" spans="1:9" x14ac:dyDescent="0.2">
      <c r="A37" s="5" t="s">
        <v>44</v>
      </c>
      <c r="F37" s="11">
        <v>564000</v>
      </c>
      <c r="G37" s="11">
        <v>574000</v>
      </c>
      <c r="H37" s="11">
        <v>615000</v>
      </c>
      <c r="I37" s="11">
        <v>2816000</v>
      </c>
    </row>
    <row r="38" spans="1:9" x14ac:dyDescent="0.2">
      <c r="A38" s="5" t="s">
        <v>52</v>
      </c>
      <c r="F38" s="11">
        <f t="shared" ref="F38:H38" si="11">SUM(F32:F37)</f>
        <v>1097566000</v>
      </c>
      <c r="G38" s="11">
        <f t="shared" si="11"/>
        <v>1140838000</v>
      </c>
      <c r="H38" s="11">
        <f t="shared" si="11"/>
        <v>1200408000</v>
      </c>
      <c r="I38" s="11">
        <f>SUM(I32:I37)</f>
        <v>1275656000</v>
      </c>
    </row>
    <row r="39" spans="1:9" x14ac:dyDescent="0.2">
      <c r="A39" s="5" t="s">
        <v>45</v>
      </c>
      <c r="F39" s="11">
        <v>11179000</v>
      </c>
      <c r="G39" s="11">
        <v>10837000</v>
      </c>
      <c r="H39" s="11">
        <v>16087000</v>
      </c>
      <c r="I39" s="11">
        <v>24837000</v>
      </c>
    </row>
    <row r="40" spans="1:9" x14ac:dyDescent="0.2">
      <c r="A40" s="5" t="s">
        <v>2</v>
      </c>
      <c r="F40" s="11">
        <v>0</v>
      </c>
      <c r="G40" s="11">
        <v>0</v>
      </c>
      <c r="H40" s="11">
        <v>0</v>
      </c>
      <c r="I40" s="11">
        <v>0</v>
      </c>
    </row>
    <row r="41" spans="1:9" x14ac:dyDescent="0.2">
      <c r="A41" s="5" t="s">
        <v>50</v>
      </c>
      <c r="F41" s="11">
        <v>85017000</v>
      </c>
      <c r="G41" s="11">
        <v>89741000</v>
      </c>
      <c r="H41" s="11">
        <v>96507000</v>
      </c>
      <c r="I41" s="11">
        <v>106691000</v>
      </c>
    </row>
    <row r="42" spans="1:9" x14ac:dyDescent="0.2">
      <c r="A42" s="5" t="s">
        <v>46</v>
      </c>
      <c r="F42" s="11">
        <f>229064000+2443000</f>
        <v>231507000</v>
      </c>
      <c r="G42" s="11">
        <f>246610000+3046000</f>
        <v>249656000</v>
      </c>
      <c r="H42" s="11">
        <f>257629000+3854000</f>
        <v>261483000</v>
      </c>
      <c r="I42" s="11">
        <f>266284000+3189000</f>
        <v>269473000</v>
      </c>
    </row>
    <row r="43" spans="1:9" x14ac:dyDescent="0.2">
      <c r="A43" s="5" t="s">
        <v>47</v>
      </c>
      <c r="F43" s="11">
        <f>19625000+55058000</f>
        <v>74683000</v>
      </c>
      <c r="G43" s="11">
        <f>18952000+50396000</f>
        <v>69348000</v>
      </c>
      <c r="H43" s="11">
        <f>18952000+45455000</f>
        <v>64407000</v>
      </c>
      <c r="I43" s="11">
        <f>18201000+42946000</f>
        <v>61147000</v>
      </c>
    </row>
    <row r="44" spans="1:9" x14ac:dyDescent="0.2">
      <c r="A44" s="5" t="s">
        <v>53</v>
      </c>
      <c r="F44" s="11">
        <f>SUM(F39:F43)</f>
        <v>402386000</v>
      </c>
      <c r="G44" s="11">
        <f>SUM(G39:G43)</f>
        <v>419582000</v>
      </c>
      <c r="H44" s="11">
        <f>SUM(H39:H43)</f>
        <v>438484000</v>
      </c>
      <c r="I44" s="11">
        <f>SUM(I39:I43)</f>
        <v>462148000</v>
      </c>
    </row>
    <row r="45" spans="1:9" x14ac:dyDescent="0.2">
      <c r="A45" s="5" t="s">
        <v>48</v>
      </c>
      <c r="F45" s="11">
        <v>695180000</v>
      </c>
      <c r="G45" s="11">
        <v>720256000</v>
      </c>
      <c r="H45" s="11">
        <v>762421000</v>
      </c>
      <c r="I45" s="11">
        <v>813508000</v>
      </c>
    </row>
    <row r="46" spans="1:9" x14ac:dyDescent="0.2">
      <c r="A46" s="5" t="s">
        <v>49</v>
      </c>
      <c r="F46" s="11">
        <f>+F45+F44</f>
        <v>1097566000</v>
      </c>
      <c r="G46" s="11">
        <f>+G45+G44</f>
        <v>1139838000</v>
      </c>
      <c r="H46" s="11">
        <f>+H45+H44</f>
        <v>1200905000</v>
      </c>
      <c r="I46" s="11">
        <f>+I45+I44</f>
        <v>1275656000</v>
      </c>
    </row>
  </sheetData>
  <pageMargins left="0.7" right="0.7" top="0.75" bottom="0.75" header="0.3" footer="0.3"/>
  <pageSetup paperSize="9" orientation="portrait" r:id="rId1"/>
  <ignoredErrors>
    <ignoredError sqref="M8 M1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Hesselberth</dc:creator>
  <cp:lastModifiedBy>Dennis Hesselberth</cp:lastModifiedBy>
  <dcterms:created xsi:type="dcterms:W3CDTF">2024-02-12T13:30:19Z</dcterms:created>
  <dcterms:modified xsi:type="dcterms:W3CDTF">2024-03-22T14:10:14Z</dcterms:modified>
</cp:coreProperties>
</file>