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enni\Desktop\CompanyResearchModels\"/>
    </mc:Choice>
  </mc:AlternateContent>
  <xr:revisionPtr revIDLastSave="0" documentId="13_ncr:1_{9AE72531-03EF-4E17-8729-7848BF56808C}" xr6:coauthVersionLast="47" xr6:coauthVersionMax="47" xr10:uidLastSave="{00000000-0000-0000-0000-000000000000}"/>
  <bookViews>
    <workbookView xWindow="165" yWindow="75" windowWidth="15810" windowHeight="15360" xr2:uid="{4003AB19-3C3F-4183-825E-F0081A0FAE79}"/>
  </bookViews>
  <sheets>
    <sheet name="Main" sheetId="1" r:id="rId1"/>
    <sheet name="Model" sheetId="2" r:id="rId2"/>
    <sheet name="Segment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7" i="3" l="1"/>
  <c r="V46" i="3"/>
  <c r="V45" i="3"/>
  <c r="V44" i="3"/>
  <c r="V43" i="3"/>
  <c r="V42" i="3"/>
  <c r="V39" i="3"/>
  <c r="V38" i="3"/>
  <c r="V37" i="3"/>
  <c r="V36" i="3"/>
  <c r="V34" i="3"/>
  <c r="V33" i="3"/>
  <c r="V32" i="3"/>
  <c r="V30" i="3"/>
  <c r="V29" i="3"/>
  <c r="V28" i="3"/>
  <c r="V26" i="3"/>
  <c r="V25" i="3"/>
  <c r="V24" i="3"/>
  <c r="V23" i="3"/>
  <c r="V48" i="3"/>
  <c r="U48" i="3"/>
  <c r="W48" i="3"/>
  <c r="W38" i="3"/>
  <c r="W34" i="3"/>
  <c r="W30" i="3"/>
  <c r="W26" i="3"/>
  <c r="U39" i="3"/>
  <c r="U38" i="3"/>
  <c r="U34" i="3"/>
  <c r="U30" i="3"/>
  <c r="U26" i="3"/>
  <c r="M15" i="3"/>
  <c r="L15" i="3"/>
  <c r="K15" i="3"/>
  <c r="J15" i="3"/>
  <c r="I15" i="3"/>
  <c r="H15" i="3"/>
  <c r="G15" i="3"/>
  <c r="F15" i="3"/>
  <c r="V6" i="3"/>
  <c r="V5" i="3"/>
  <c r="V4" i="3"/>
  <c r="U7" i="3"/>
  <c r="W7" i="3"/>
  <c r="D11" i="1"/>
  <c r="K76" i="2"/>
  <c r="F86" i="2"/>
  <c r="F78" i="2"/>
  <c r="F80" i="2" s="1"/>
  <c r="F87" i="2"/>
  <c r="F75" i="2"/>
  <c r="F76" i="2" s="1"/>
  <c r="F53" i="2"/>
  <c r="O92" i="2"/>
  <c r="O90" i="2"/>
  <c r="O87" i="2"/>
  <c r="O80" i="2"/>
  <c r="O78" i="2"/>
  <c r="K92" i="2"/>
  <c r="K90" i="2"/>
  <c r="K87" i="2"/>
  <c r="K80" i="2"/>
  <c r="K78" i="2"/>
  <c r="O75" i="2"/>
  <c r="O76" i="2" s="1"/>
  <c r="O53" i="2"/>
  <c r="K75" i="2"/>
  <c r="K53" i="2"/>
  <c r="O35" i="2"/>
  <c r="O49" i="2"/>
  <c r="O28" i="2"/>
  <c r="O39" i="2"/>
  <c r="N45" i="2"/>
  <c r="N35" i="2"/>
  <c r="N39" i="2" s="1"/>
  <c r="M45" i="2"/>
  <c r="M49" i="2" s="1"/>
  <c r="M35" i="2"/>
  <c r="M39" i="2" s="1"/>
  <c r="L45" i="2"/>
  <c r="L49" i="2" s="1"/>
  <c r="L35" i="2"/>
  <c r="L39" i="2" s="1"/>
  <c r="K45" i="2"/>
  <c r="K49" i="2" s="1"/>
  <c r="K35" i="2"/>
  <c r="K39" i="2"/>
  <c r="J45" i="2"/>
  <c r="J49" i="2" s="1"/>
  <c r="J35" i="2"/>
  <c r="J39" i="2"/>
  <c r="J28" i="2"/>
  <c r="N49" i="2"/>
  <c r="N28" i="2"/>
  <c r="I45" i="2"/>
  <c r="I49" i="2" s="1"/>
  <c r="I35" i="2"/>
  <c r="I39" i="2" s="1"/>
  <c r="H45" i="2"/>
  <c r="H28" i="2" s="1"/>
  <c r="H35" i="2"/>
  <c r="H39" i="2" s="1"/>
  <c r="H49" i="2"/>
  <c r="G45" i="2"/>
  <c r="G49" i="2" s="1"/>
  <c r="E42" i="2"/>
  <c r="E49" i="2" s="1"/>
  <c r="F42" i="2"/>
  <c r="F49" i="2" s="1"/>
  <c r="G35" i="2"/>
  <c r="G39" i="2" s="1"/>
  <c r="E35" i="2"/>
  <c r="E39" i="2" s="1"/>
  <c r="E28" i="2"/>
  <c r="F28" i="2"/>
  <c r="F35" i="2"/>
  <c r="F39" i="2" s="1"/>
  <c r="B26" i="2"/>
  <c r="B10" i="2"/>
  <c r="B6" i="2"/>
  <c r="B21" i="2" s="1"/>
  <c r="C26" i="2"/>
  <c r="C10" i="2"/>
  <c r="C6" i="2"/>
  <c r="D26" i="2"/>
  <c r="D10" i="2"/>
  <c r="D6" i="2"/>
  <c r="E26" i="2"/>
  <c r="E10" i="2"/>
  <c r="E6" i="2"/>
  <c r="F26" i="2"/>
  <c r="F10" i="2"/>
  <c r="F6" i="2"/>
  <c r="K26" i="2"/>
  <c r="K10" i="2"/>
  <c r="K6" i="2"/>
  <c r="K21" i="2" s="1"/>
  <c r="G26" i="2"/>
  <c r="G10" i="2"/>
  <c r="G6" i="2"/>
  <c r="G21" i="2" s="1"/>
  <c r="L26" i="2"/>
  <c r="L10" i="2"/>
  <c r="L6" i="2"/>
  <c r="H26" i="2"/>
  <c r="H10" i="2"/>
  <c r="H6" i="2"/>
  <c r="H21" i="2" s="1"/>
  <c r="M26" i="2"/>
  <c r="M10" i="2"/>
  <c r="M6" i="2"/>
  <c r="M21" i="2" s="1"/>
  <c r="I26" i="2"/>
  <c r="I10" i="2"/>
  <c r="I6" i="2"/>
  <c r="I21" i="2" s="1"/>
  <c r="N26" i="2"/>
  <c r="N10" i="2"/>
  <c r="N6" i="2"/>
  <c r="N21" i="2" s="1"/>
  <c r="S26" i="2"/>
  <c r="S10" i="2"/>
  <c r="S6" i="2"/>
  <c r="T26" i="2"/>
  <c r="T10" i="2"/>
  <c r="T6" i="2"/>
  <c r="U26" i="2"/>
  <c r="U10" i="2"/>
  <c r="U6" i="2"/>
  <c r="J26" i="2"/>
  <c r="J10" i="2"/>
  <c r="J6" i="2"/>
  <c r="J21" i="2" s="1"/>
  <c r="O26" i="2"/>
  <c r="O10" i="2"/>
  <c r="O6" i="2"/>
  <c r="O11" i="2" s="1"/>
  <c r="D6" i="1"/>
  <c r="D9" i="1" s="1"/>
  <c r="W39" i="3" l="1"/>
  <c r="V7" i="3"/>
  <c r="F92" i="2"/>
  <c r="F90" i="2"/>
  <c r="M28" i="2"/>
  <c r="O50" i="2"/>
  <c r="O51" i="2" s="1"/>
  <c r="M50" i="2"/>
  <c r="M51" i="2" s="1"/>
  <c r="L50" i="2"/>
  <c r="L51" i="2" s="1"/>
  <c r="L28" i="2"/>
  <c r="K28" i="2"/>
  <c r="K50" i="2"/>
  <c r="K51" i="2" s="1"/>
  <c r="J50" i="2"/>
  <c r="J51" i="2" s="1"/>
  <c r="C11" i="2"/>
  <c r="C15" i="2" s="1"/>
  <c r="F50" i="2"/>
  <c r="F51" i="2" s="1"/>
  <c r="G28" i="2"/>
  <c r="N50" i="2"/>
  <c r="N51" i="2" s="1"/>
  <c r="I50" i="2"/>
  <c r="I51" i="2" s="1"/>
  <c r="I28" i="2"/>
  <c r="H50" i="2"/>
  <c r="H51" i="2" s="1"/>
  <c r="G50" i="2"/>
  <c r="G51" i="2" s="1"/>
  <c r="E50" i="2"/>
  <c r="E51" i="2" s="1"/>
  <c r="B11" i="2"/>
  <c r="C21" i="2"/>
  <c r="D11" i="2"/>
  <c r="D22" i="2" s="1"/>
  <c r="D21" i="2"/>
  <c r="E11" i="2"/>
  <c r="E15" i="2" s="1"/>
  <c r="E21" i="2"/>
  <c r="F11" i="2"/>
  <c r="F15" i="2" s="1"/>
  <c r="F21" i="2"/>
  <c r="K11" i="2"/>
  <c r="G11" i="2"/>
  <c r="L11" i="2"/>
  <c r="L15" i="2" s="1"/>
  <c r="L21" i="2"/>
  <c r="H11" i="2"/>
  <c r="M11" i="2"/>
  <c r="I11" i="2"/>
  <c r="N11" i="2"/>
  <c r="O21" i="2"/>
  <c r="O22" i="2"/>
  <c r="O15" i="2"/>
  <c r="S11" i="2"/>
  <c r="S15" i="2" s="1"/>
  <c r="T11" i="2"/>
  <c r="T22" i="2" s="1"/>
  <c r="S21" i="2"/>
  <c r="T21" i="2"/>
  <c r="U11" i="2"/>
  <c r="U15" i="2" s="1"/>
  <c r="U24" i="2" s="1"/>
  <c r="U21" i="2"/>
  <c r="J11" i="2"/>
  <c r="U22" i="2" l="1"/>
  <c r="C22" i="2"/>
  <c r="B15" i="2"/>
  <c r="B22" i="2"/>
  <c r="C24" i="2"/>
  <c r="C17" i="2"/>
  <c r="D15" i="2"/>
  <c r="D17" i="2" s="1"/>
  <c r="E22" i="2"/>
  <c r="E24" i="2"/>
  <c r="E17" i="2"/>
  <c r="F22" i="2"/>
  <c r="F24" i="2"/>
  <c r="F17" i="2"/>
  <c r="K22" i="2"/>
  <c r="K15" i="2"/>
  <c r="G15" i="2"/>
  <c r="G22" i="2"/>
  <c r="L22" i="2"/>
  <c r="L17" i="2"/>
  <c r="L24" i="2"/>
  <c r="H22" i="2"/>
  <c r="H15" i="2"/>
  <c r="M22" i="2"/>
  <c r="M15" i="2"/>
  <c r="I15" i="2"/>
  <c r="I22" i="2"/>
  <c r="N15" i="2"/>
  <c r="N22" i="2"/>
  <c r="S22" i="2"/>
  <c r="O24" i="2"/>
  <c r="O17" i="2"/>
  <c r="T15" i="2"/>
  <c r="T24" i="2" s="1"/>
  <c r="S24" i="2"/>
  <c r="S17" i="2"/>
  <c r="U17" i="2"/>
  <c r="U23" i="2" s="1"/>
  <c r="J22" i="2"/>
  <c r="J15" i="2"/>
  <c r="B24" i="2" l="1"/>
  <c r="B17" i="2"/>
  <c r="C23" i="2"/>
  <c r="C18" i="2"/>
  <c r="D24" i="2"/>
  <c r="D18" i="2"/>
  <c r="D23" i="2"/>
  <c r="E23" i="2"/>
  <c r="E18" i="2"/>
  <c r="F23" i="2"/>
  <c r="F18" i="2"/>
  <c r="K17" i="2"/>
  <c r="K24" i="2"/>
  <c r="G24" i="2"/>
  <c r="G17" i="2"/>
  <c r="L23" i="2"/>
  <c r="L18" i="2"/>
  <c r="H24" i="2"/>
  <c r="H17" i="2"/>
  <c r="M17" i="2"/>
  <c r="M24" i="2"/>
  <c r="I24" i="2"/>
  <c r="I17" i="2"/>
  <c r="N24" i="2"/>
  <c r="N17" i="2"/>
  <c r="O18" i="2"/>
  <c r="O23" i="2"/>
  <c r="T17" i="2"/>
  <c r="T18" i="2" s="1"/>
  <c r="S23" i="2"/>
  <c r="S18" i="2"/>
  <c r="U18" i="2"/>
  <c r="J24" i="2"/>
  <c r="J17" i="2"/>
  <c r="B18" i="2" l="1"/>
  <c r="B23" i="2"/>
  <c r="K18" i="2"/>
  <c r="K23" i="2"/>
  <c r="G23" i="2"/>
  <c r="G18" i="2"/>
  <c r="H23" i="2"/>
  <c r="H18" i="2"/>
  <c r="M18" i="2"/>
  <c r="M23" i="2"/>
  <c r="I23" i="2"/>
  <c r="I18" i="2"/>
  <c r="N23" i="2"/>
  <c r="N18" i="2"/>
  <c r="T23" i="2"/>
  <c r="J23" i="2"/>
  <c r="J18" i="2"/>
</calcChain>
</file>

<file path=xl/sharedStrings.xml><?xml version="1.0" encoding="utf-8"?>
<sst xmlns="http://schemas.openxmlformats.org/spreadsheetml/2006/main" count="200" uniqueCount="144">
  <si>
    <t>MSCI</t>
  </si>
  <si>
    <t>(MSCI)</t>
  </si>
  <si>
    <t>(in millions)</t>
  </si>
  <si>
    <t>Price</t>
  </si>
  <si>
    <t>Shares</t>
  </si>
  <si>
    <t>MC</t>
  </si>
  <si>
    <t>Cash</t>
  </si>
  <si>
    <t>Debt</t>
  </si>
  <si>
    <t>EV</t>
  </si>
  <si>
    <t>Q124</t>
  </si>
  <si>
    <t>Q123</t>
  </si>
  <si>
    <t>CEO</t>
  </si>
  <si>
    <t>Henry A. Fernandez</t>
  </si>
  <si>
    <t xml:space="preserve">Headquatered </t>
  </si>
  <si>
    <t>New York</t>
  </si>
  <si>
    <t xml:space="preserve">5000 employees </t>
  </si>
  <si>
    <t>25 countries</t>
  </si>
  <si>
    <t>Pension funds</t>
  </si>
  <si>
    <t>Asset managers</t>
  </si>
  <si>
    <t>Sovereign wealth funds</t>
  </si>
  <si>
    <t>Insurance companies</t>
  </si>
  <si>
    <t>ETF providers</t>
  </si>
  <si>
    <t>Hedge funds</t>
  </si>
  <si>
    <t>Banks</t>
  </si>
  <si>
    <t>Mutual funds</t>
  </si>
  <si>
    <t>Acquisition</t>
  </si>
  <si>
    <t>Barra</t>
  </si>
  <si>
    <t>RiskMetrics</t>
  </si>
  <si>
    <t>Real Capital Analytics</t>
  </si>
  <si>
    <t>Revenue</t>
  </si>
  <si>
    <t>COGS</t>
  </si>
  <si>
    <t>Gross profit</t>
  </si>
  <si>
    <t>S&amp;M</t>
  </si>
  <si>
    <t>G&amp;A</t>
  </si>
  <si>
    <t>R&amp;D</t>
  </si>
  <si>
    <t>Operating expense</t>
  </si>
  <si>
    <t>Operating income</t>
  </si>
  <si>
    <t>Interest income</t>
  </si>
  <si>
    <t>Interest expense</t>
  </si>
  <si>
    <t>Other</t>
  </si>
  <si>
    <t>Pretax</t>
  </si>
  <si>
    <t>Taxes</t>
  </si>
  <si>
    <t>Net income</t>
  </si>
  <si>
    <t>EPS</t>
  </si>
  <si>
    <t>Gross margin</t>
  </si>
  <si>
    <t>Operating margin</t>
  </si>
  <si>
    <t>Taxe rate</t>
  </si>
  <si>
    <t>Net margin</t>
  </si>
  <si>
    <t>Revenue y/y</t>
  </si>
  <si>
    <t>Q423</t>
  </si>
  <si>
    <t>Q422</t>
  </si>
  <si>
    <t>Q122</t>
  </si>
  <si>
    <t>Q222</t>
  </si>
  <si>
    <t>Q322</t>
  </si>
  <si>
    <t>Q223</t>
  </si>
  <si>
    <t>Q323</t>
  </si>
  <si>
    <t>Q121</t>
  </si>
  <si>
    <t>Q221</t>
  </si>
  <si>
    <t>Q321</t>
  </si>
  <si>
    <t>Q421</t>
  </si>
  <si>
    <t>Net cash</t>
  </si>
  <si>
    <t>A/R</t>
  </si>
  <si>
    <t>Prepaid</t>
  </si>
  <si>
    <t>PP&amp;E</t>
  </si>
  <si>
    <t>Lease</t>
  </si>
  <si>
    <t>Goodwill</t>
  </si>
  <si>
    <t>Investments</t>
  </si>
  <si>
    <t>D/T</t>
  </si>
  <si>
    <t>ONA</t>
  </si>
  <si>
    <t>Assets</t>
  </si>
  <si>
    <t>A/P</t>
  </si>
  <si>
    <t>Accrued</t>
  </si>
  <si>
    <t>D/R</t>
  </si>
  <si>
    <t>ONCL</t>
  </si>
  <si>
    <t>OCA</t>
  </si>
  <si>
    <t>Liabilities</t>
  </si>
  <si>
    <t>S/E</t>
  </si>
  <si>
    <t>L+S/E</t>
  </si>
  <si>
    <t>in the global investment industry.</t>
  </si>
  <si>
    <t>Segments</t>
  </si>
  <si>
    <t xml:space="preserve">MSCI's revenue model is based on providing valuable financial data, indexes, analytics, and services to a wide range of clients
</t>
  </si>
  <si>
    <t>MSCI's clients</t>
  </si>
  <si>
    <t>Model NI</t>
  </si>
  <si>
    <t>Reported NI</t>
  </si>
  <si>
    <t>D&amp;A</t>
  </si>
  <si>
    <t>Amortization</t>
  </si>
  <si>
    <t>SBC</t>
  </si>
  <si>
    <t>Fee of debt</t>
  </si>
  <si>
    <t>Extinguishment</t>
  </si>
  <si>
    <t>Prepaid taxes</t>
  </si>
  <si>
    <t>Accrued benefits</t>
  </si>
  <si>
    <t>CFFO</t>
  </si>
  <si>
    <t>Working capital</t>
  </si>
  <si>
    <t>CapEx</t>
  </si>
  <si>
    <t>CFFI</t>
  </si>
  <si>
    <t>Buybacks</t>
  </si>
  <si>
    <t>Dividends</t>
  </si>
  <si>
    <t>Repay debt</t>
  </si>
  <si>
    <t>Issuance debt</t>
  </si>
  <si>
    <t>Cost of issuance</t>
  </si>
  <si>
    <t>CFFF</t>
  </si>
  <si>
    <t>FX</t>
  </si>
  <si>
    <t>CIC</t>
  </si>
  <si>
    <t>FCF</t>
  </si>
  <si>
    <t>FCF TTM</t>
  </si>
  <si>
    <t>Recurring subsciptions</t>
  </si>
  <si>
    <t>Asset-based fees</t>
  </si>
  <si>
    <t>Non-recurring</t>
  </si>
  <si>
    <t>Total</t>
  </si>
  <si>
    <t>change %</t>
  </si>
  <si>
    <t>AUM meaning assets under management</t>
  </si>
  <si>
    <t>AUM in ETFs
linked to MSCI
equity indexes</t>
  </si>
  <si>
    <t>(in billions)</t>
  </si>
  <si>
    <t>Sequential
Change in value</t>
  </si>
  <si>
    <t>Market
appreciation/
(depreciation)</t>
  </si>
  <si>
    <t>Cash inflows/
(outflows)</t>
  </si>
  <si>
    <t>Total change</t>
  </si>
  <si>
    <t>March</t>
  </si>
  <si>
    <t>June</t>
  </si>
  <si>
    <t>September</t>
  </si>
  <si>
    <t>Decemeber</t>
  </si>
  <si>
    <t>Year-to-date average</t>
  </si>
  <si>
    <t>Operating revenues:</t>
  </si>
  <si>
    <t>Index</t>
  </si>
  <si>
    <t>Recurring subscriptions</t>
  </si>
  <si>
    <t>Index total</t>
  </si>
  <si>
    <t>Analytics</t>
  </si>
  <si>
    <t>Analytics total</t>
  </si>
  <si>
    <t>ESG and climate</t>
  </si>
  <si>
    <t>ESG and climate total</t>
  </si>
  <si>
    <t>All other - private assets</t>
  </si>
  <si>
    <t>All other - private assets total</t>
  </si>
  <si>
    <t>Total operating revenues</t>
  </si>
  <si>
    <t>Operating expense:</t>
  </si>
  <si>
    <t>Cost of revenues</t>
  </si>
  <si>
    <t>Selling and marketing</t>
  </si>
  <si>
    <t>Research and development</t>
  </si>
  <si>
    <t>General and administrative</t>
  </si>
  <si>
    <t>Amortization of intangible
assets</t>
  </si>
  <si>
    <t>Depreciation and amortization
of property, equipment and
leasehold improvements</t>
  </si>
  <si>
    <t>Total operating expense</t>
  </si>
  <si>
    <t>Headcount</t>
  </si>
  <si>
    <t>MSCI acquisitions</t>
  </si>
  <si>
    <t>The Burgiss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</si>
</sst>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0\x"/>
    <numFmt numFmtId="168" formatCode="0.0%"/>
  </numFmts>
  <fonts count="4" x14ac:knownFonts="1">
    <font>
      <sz val="10"/>
      <color theme="1"/>
      <name val="Arial"/>
      <family val="2"/>
    </font>
    <font>
      <b/>
      <sz val="10"/>
      <color theme="1"/>
      <name val="Arial"/>
      <family val="2"/>
    </font>
    <font>
      <sz val="28"/>
      <color theme="1"/>
      <name val="Arial"/>
      <family val="2"/>
    </font>
    <font>
      <i/>
      <u/>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9">
    <xf numFmtId="0" fontId="0" fillId="0" borderId="0" xfId="0"/>
    <xf numFmtId="0" fontId="2" fillId="0" borderId="0" xfId="0" applyFont="1"/>
    <xf numFmtId="3" fontId="0" fillId="0" borderId="0" xfId="0" applyNumberFormat="1"/>
    <xf numFmtId="3" fontId="2" fillId="0" borderId="0" xfId="0" applyNumberFormat="1" applyFont="1"/>
    <xf numFmtId="0" fontId="1" fillId="0" borderId="0" xfId="0" applyFont="1"/>
    <xf numFmtId="3" fontId="1" fillId="0" borderId="0" xfId="0" applyNumberFormat="1" applyFont="1"/>
    <xf numFmtId="4" fontId="0" fillId="0" borderId="0" xfId="0" applyNumberFormat="1"/>
    <xf numFmtId="9" fontId="0" fillId="0" borderId="0" xfId="0" applyNumberFormat="1"/>
    <xf numFmtId="1" fontId="0" fillId="0" borderId="0" xfId="0" applyNumberFormat="1" applyAlignment="1">
      <alignment horizontal="left"/>
    </xf>
    <xf numFmtId="1" fontId="0" fillId="0" borderId="0" xfId="0" applyNumberFormat="1" applyAlignment="1">
      <alignment horizontal="right"/>
    </xf>
    <xf numFmtId="9" fontId="1" fillId="0" borderId="0" xfId="0" applyNumberFormat="1" applyFont="1"/>
    <xf numFmtId="14" fontId="0" fillId="0" borderId="0" xfId="0" applyNumberFormat="1"/>
    <xf numFmtId="0" fontId="0" fillId="0" borderId="0" xfId="0" applyAlignment="1">
      <alignment wrapText="1"/>
    </xf>
    <xf numFmtId="0" fontId="0" fillId="0" borderId="0" xfId="0" applyAlignment="1"/>
    <xf numFmtId="0" fontId="0" fillId="0" borderId="0" xfId="0" applyNumberFormat="1"/>
    <xf numFmtId="0" fontId="1" fillId="0" borderId="0" xfId="0" applyNumberFormat="1" applyFont="1"/>
    <xf numFmtId="0" fontId="0" fillId="0" borderId="0" xfId="0" applyNumberFormat="1" applyAlignment="1">
      <alignment wrapText="1"/>
    </xf>
    <xf numFmtId="167" fontId="0" fillId="0" borderId="0" xfId="0" applyNumberFormat="1"/>
    <xf numFmtId="168" fontId="0" fillId="0" borderId="0" xfId="0" applyNumberFormat="1"/>
    <xf numFmtId="3" fontId="0" fillId="0" borderId="0" xfId="0" applyNumberFormat="1" applyAlignment="1">
      <alignment horizontal="right"/>
    </xf>
    <xf numFmtId="3" fontId="0" fillId="0" borderId="0" xfId="0" applyNumberFormat="1" applyAlignment="1">
      <alignment wrapText="1"/>
    </xf>
    <xf numFmtId="0" fontId="3" fillId="0" borderId="0" xfId="0" applyFont="1" applyAlignment="1">
      <alignment wrapText="1"/>
    </xf>
    <xf numFmtId="3" fontId="0" fillId="0" borderId="0" xfId="0" applyNumberFormat="1" applyAlignment="1">
      <alignment horizontal="center"/>
    </xf>
    <xf numFmtId="168" fontId="1" fillId="0" borderId="0" xfId="0" applyNumberFormat="1" applyFont="1"/>
    <xf numFmtId="0" fontId="0" fillId="0" borderId="0" xfId="0" applyFont="1"/>
    <xf numFmtId="3" fontId="0" fillId="0" borderId="0" xfId="0" applyNumberFormat="1" applyFont="1"/>
    <xf numFmtId="168" fontId="0" fillId="0" borderId="0" xfId="0" applyNumberFormat="1" applyFont="1"/>
    <xf numFmtId="0" fontId="3" fillId="0" borderId="0" xfId="0" applyFont="1"/>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76200</xdr:colOff>
      <xdr:row>7</xdr:row>
      <xdr:rowOff>47625</xdr:rowOff>
    </xdr:from>
    <xdr:to>
      <xdr:col>1</xdr:col>
      <xdr:colOff>7124700</xdr:colOff>
      <xdr:row>32</xdr:row>
      <xdr:rowOff>47625</xdr:rowOff>
    </xdr:to>
    <xdr:sp macro="" textlink="">
      <xdr:nvSpPr>
        <xdr:cNvPr id="8" name="TextBox 7">
          <a:extLst>
            <a:ext uri="{FF2B5EF4-FFF2-40B4-BE49-F238E27FC236}">
              <a16:creationId xmlns:a16="http://schemas.microsoft.com/office/drawing/2014/main" id="{0B1767A2-3BAE-A8C6-27FF-53D112F63C06}"/>
            </a:ext>
          </a:extLst>
        </xdr:cNvPr>
        <xdr:cNvSpPr txBox="1"/>
      </xdr:nvSpPr>
      <xdr:spPr>
        <a:xfrm>
          <a:off x="1104900" y="1457325"/>
          <a:ext cx="7048500" cy="404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b="1"/>
            <a:t>Index Services</a:t>
          </a:r>
          <a:r>
            <a:rPr lang="en-GB"/>
            <a:t>: MSCI creates and maintains a wide range of equity indexes that are used as benchmarks by investors and fund managers worldwide. These indexes are licensed to asset managers, ETF providers, pension funds, and other financial institutions. These clients pay fees to MSCI for the use of these indexes in their investment products.</a:t>
          </a:r>
        </a:p>
        <a:p>
          <a:r>
            <a:rPr lang="en-GB" b="1"/>
            <a:t>Index Licensing</a:t>
          </a:r>
          <a:r>
            <a:rPr lang="en-GB"/>
            <a:t>: MSCI charges licensing fees to financial products that use their indexes. This includes exchange-traded funds (ETFs), mutual funds, and other investment vehicles. For example, if an ETF provider wants to create a fund that tracks the MSCI World Index, they would pay MSCI a fee for the right to use that index.</a:t>
          </a:r>
        </a:p>
        <a:p>
          <a:r>
            <a:rPr lang="en-GB" b="1"/>
            <a:t>Analytics and Risk Management Tools</a:t>
          </a:r>
          <a:r>
            <a:rPr lang="en-GB"/>
            <a:t>: MSCI offers a range of analytics and risk management tools for investors and institutions. These include portfolio analysis tools, risk models, and performance attribution services. Clients pay subscription fees for access to these tools, which help them make informed investment decisions.</a:t>
          </a:r>
        </a:p>
        <a:p>
          <a:r>
            <a:rPr lang="en-GB" b="1"/>
            <a:t>Custom Index Creation</a:t>
          </a:r>
          <a:r>
            <a:rPr lang="en-GB"/>
            <a:t>: MSCI also creates custom indexes for clients based on their specific requirements. For example, an asset manager might want an index that focuses on sustainable investing or a particular sector. MSCI charges fees for the creation and maintenance of these custom indexes.</a:t>
          </a:r>
        </a:p>
        <a:p>
          <a:r>
            <a:rPr lang="en-GB" b="1"/>
            <a:t>ESG Ratings and Research</a:t>
          </a:r>
          <a:r>
            <a:rPr lang="en-GB"/>
            <a:t>: MSCI provides ESG (Environmental, Social, and Governance) ratings and research to help investors assess the sustainability and ethical impact of their investments. Companies and investors pay for access to these ratings and reports.</a:t>
          </a:r>
        </a:p>
        <a:p>
          <a:r>
            <a:rPr lang="en-GB" b="1"/>
            <a:t>Real Estate Indexes and Analytics</a:t>
          </a:r>
          <a:r>
            <a:rPr lang="en-GB"/>
            <a:t>: MSCI offers real estate indexes and analytics for the global real estate market. Similar to equity indexes, these are licensed to investors and institutions for benchmarking and analysis purposes.</a:t>
          </a:r>
        </a:p>
        <a:p>
          <a:r>
            <a:rPr lang="en-GB" b="1"/>
            <a:t>Consulting Services</a:t>
          </a:r>
          <a:r>
            <a:rPr lang="en-GB"/>
            <a:t>: MSCI provides consulting services to help clients understand and implement best practices in investment management, risk management, and ESG integration. Clients pay fees for these advisory services.</a:t>
          </a:r>
        </a:p>
        <a:p>
          <a:endParaRPr lang="en-GB"/>
        </a:p>
        <a:p>
          <a:r>
            <a:rPr lang="en-GB"/>
            <a:t>Overall, MSCI's revenue model is based on providing valuable financial data, indexes, analytics, and services to a wide range of clients in the global investment industry.</a:t>
          </a:r>
        </a:p>
        <a:p>
          <a:pPr algn="l"/>
          <a:r>
            <a:rPr lang="en-GB" sz="1100"/>
            <a:t> </a:t>
          </a:r>
        </a:p>
      </xdr:txBody>
    </xdr:sp>
    <xdr:clientData/>
  </xdr:twoCellAnchor>
  <xdr:twoCellAnchor>
    <xdr:from>
      <xdr:col>1</xdr:col>
      <xdr:colOff>133350</xdr:colOff>
      <xdr:row>35</xdr:row>
      <xdr:rowOff>114300</xdr:rowOff>
    </xdr:from>
    <xdr:to>
      <xdr:col>1</xdr:col>
      <xdr:colOff>7115175</xdr:colOff>
      <xdr:row>52</xdr:row>
      <xdr:rowOff>47625</xdr:rowOff>
    </xdr:to>
    <xdr:sp macro="" textlink="">
      <xdr:nvSpPr>
        <xdr:cNvPr id="9" name="TextBox 8">
          <a:extLst>
            <a:ext uri="{FF2B5EF4-FFF2-40B4-BE49-F238E27FC236}">
              <a16:creationId xmlns:a16="http://schemas.microsoft.com/office/drawing/2014/main" id="{834E06E3-2BF9-03C3-5CF7-444D706949FC}"/>
            </a:ext>
          </a:extLst>
        </xdr:cNvPr>
        <xdr:cNvSpPr txBox="1"/>
      </xdr:nvSpPr>
      <xdr:spPr>
        <a:xfrm>
          <a:off x="1162050" y="6057900"/>
          <a:ext cx="6981825" cy="268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b="1"/>
            <a:t>Acquisitions</a:t>
          </a:r>
        </a:p>
        <a:p>
          <a:pPr algn="l"/>
          <a:r>
            <a:rPr lang="en-GB" sz="1100" i="0"/>
            <a:t>Aug 14, 2023</a:t>
          </a:r>
        </a:p>
        <a:p>
          <a:pPr algn="l"/>
          <a:r>
            <a:rPr lang="en-GB" sz="1100" b="1"/>
            <a:t>The Burgiss Group</a:t>
          </a:r>
          <a:r>
            <a:rPr lang="en-GB" sz="1100" b="1" baseline="0"/>
            <a:t> </a:t>
          </a:r>
          <a:r>
            <a:rPr lang="en-GB" sz="1100" baseline="0"/>
            <a:t>of the remaining 66%, a New Jersey based provider of data and analytics solutions for investors, for</a:t>
          </a:r>
        </a:p>
        <a:p>
          <a:pPr algn="l"/>
          <a:r>
            <a:rPr lang="en-GB" sz="1100" baseline="0"/>
            <a:t>$697 million in cash. (total amount  $913 million)</a:t>
          </a:r>
        </a:p>
        <a:p>
          <a:pPr algn="l"/>
          <a:r>
            <a:rPr lang="en-GB" sz="1100" baseline="0"/>
            <a:t>The deal will boost over MSCI's footprint in the private asset data analutics segment, as Burgiss's dataset covers over  13,000 private assets funds around the world, representing $15 trillion cumulative investments</a:t>
          </a:r>
        </a:p>
        <a:p>
          <a:pPr algn="l"/>
          <a:r>
            <a:rPr lang="en-GB" sz="1100" baseline="0"/>
            <a:t>in 195 countries.</a:t>
          </a:r>
        </a:p>
        <a:p>
          <a:pPr algn="l"/>
          <a:endParaRPr lang="en-GB" sz="1100" baseline="0"/>
        </a:p>
        <a:p>
          <a:pPr algn="l"/>
          <a:endParaRPr lang="en-GB" sz="1100"/>
        </a:p>
        <a:p>
          <a:pPr algn="l"/>
          <a:endParaRPr lang="en-GB" sz="1100"/>
        </a:p>
        <a:p>
          <a:pPr algn="l"/>
          <a:endParaRPr lang="en-GB" sz="1100"/>
        </a:p>
        <a:p>
          <a:pPr algn="l"/>
          <a:endParaRPr lang="en-GB"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txDef>
      <a:spPr>
        <a:solidFill>
          <a:schemeClr val="lt1"/>
        </a:solidFill>
        <a:ln w="9525" cmpd="sng">
          <a:solidFill>
            <a:schemeClr val="lt1">
              <a:shade val="50000"/>
            </a:schemeClr>
          </a:solidFill>
        </a:ln>
      </a:spPr>
      <a:bodyPr vertOverflow="clip" horzOverflow="clip" wrap="square" rtlCol="0" anchor="t"/>
      <a:lstStyle>
        <a:defPPr algn="l">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A1978-AE01-4F46-8079-62543A2A066E}">
  <dimension ref="A1:M38"/>
  <sheetViews>
    <sheetView tabSelected="1" topLeftCell="A14" workbookViewId="0">
      <selection activeCell="B55" sqref="B55"/>
    </sheetView>
  </sheetViews>
  <sheetFormatPr defaultRowHeight="12.75" x14ac:dyDescent="0.2"/>
  <cols>
    <col min="1" max="1" width="15.42578125" bestFit="1" customWidth="1"/>
    <col min="2" max="2" width="107.7109375" customWidth="1"/>
  </cols>
  <sheetData>
    <row r="1" spans="1:12" ht="34.5" x14ac:dyDescent="0.45">
      <c r="A1" s="1" t="s">
        <v>0</v>
      </c>
    </row>
    <row r="2" spans="1:12" x14ac:dyDescent="0.2">
      <c r="A2" t="s">
        <v>1</v>
      </c>
      <c r="B2" t="s">
        <v>110</v>
      </c>
    </row>
    <row r="3" spans="1:12" x14ac:dyDescent="0.2">
      <c r="A3" t="s">
        <v>2</v>
      </c>
      <c r="D3" s="14"/>
      <c r="E3" s="14"/>
      <c r="F3" s="14"/>
      <c r="G3" s="14"/>
    </row>
    <row r="4" spans="1:12" x14ac:dyDescent="0.2">
      <c r="B4" s="13" t="s">
        <v>80</v>
      </c>
      <c r="C4" t="s">
        <v>3</v>
      </c>
      <c r="D4" s="2">
        <v>442</v>
      </c>
      <c r="E4" s="14"/>
      <c r="F4" s="14"/>
      <c r="G4" s="14"/>
    </row>
    <row r="5" spans="1:12" x14ac:dyDescent="0.2">
      <c r="B5" t="s">
        <v>78</v>
      </c>
      <c r="C5" t="s">
        <v>4</v>
      </c>
      <c r="D5" s="2">
        <v>79.224200999999994</v>
      </c>
      <c r="E5" s="14"/>
      <c r="F5" s="14"/>
      <c r="G5" s="14"/>
    </row>
    <row r="6" spans="1:12" x14ac:dyDescent="0.2">
      <c r="C6" t="s">
        <v>5</v>
      </c>
      <c r="D6" s="2">
        <f>+D4*D5</f>
        <v>35017.096841999999</v>
      </c>
      <c r="E6" s="14"/>
      <c r="F6" s="14"/>
      <c r="G6" s="14"/>
    </row>
    <row r="7" spans="1:12" x14ac:dyDescent="0.2">
      <c r="B7" s="15" t="s">
        <v>79</v>
      </c>
      <c r="C7" t="s">
        <v>6</v>
      </c>
      <c r="D7" s="2">
        <v>519.31500000000005</v>
      </c>
      <c r="E7" s="14"/>
      <c r="F7" s="14"/>
      <c r="G7" s="14"/>
      <c r="H7" s="14"/>
      <c r="I7" s="14"/>
      <c r="J7" s="14"/>
      <c r="K7" s="14"/>
      <c r="L7" s="14"/>
    </row>
    <row r="8" spans="1:12" x14ac:dyDescent="0.2">
      <c r="B8" s="14"/>
      <c r="C8" t="s">
        <v>7</v>
      </c>
      <c r="D8" s="2">
        <v>4507.6859999999997</v>
      </c>
      <c r="E8" s="14"/>
      <c r="F8" s="14"/>
      <c r="G8" s="14"/>
      <c r="H8" s="14"/>
      <c r="I8" s="14"/>
      <c r="J8" s="14"/>
      <c r="K8" s="14"/>
      <c r="L8" s="14"/>
    </row>
    <row r="9" spans="1:12" x14ac:dyDescent="0.2">
      <c r="B9" s="16"/>
      <c r="C9" t="s">
        <v>8</v>
      </c>
      <c r="D9" s="2">
        <f>+D6-D7+D8</f>
        <v>39005.467841999998</v>
      </c>
      <c r="E9" s="14"/>
      <c r="F9" s="14"/>
      <c r="G9" s="14"/>
      <c r="H9" s="14"/>
      <c r="I9" s="14"/>
      <c r="J9" s="14"/>
      <c r="K9" s="14"/>
      <c r="L9" s="14"/>
    </row>
    <row r="10" spans="1:12" x14ac:dyDescent="0.2">
      <c r="B10" s="14"/>
      <c r="D10" s="2">
        <v>1171</v>
      </c>
      <c r="E10" s="14"/>
      <c r="F10" s="14"/>
      <c r="G10" s="14"/>
      <c r="H10" s="14"/>
      <c r="I10" s="14"/>
      <c r="J10" s="14"/>
      <c r="K10" s="14"/>
      <c r="L10" s="14"/>
    </row>
    <row r="11" spans="1:12" x14ac:dyDescent="0.2">
      <c r="D11" s="17">
        <f>+D9/D10</f>
        <v>33.309537012809564</v>
      </c>
      <c r="E11" s="14"/>
      <c r="F11" s="14"/>
      <c r="G11" s="14"/>
      <c r="H11" s="14"/>
      <c r="I11" s="14"/>
      <c r="J11" s="14"/>
      <c r="K11" s="14"/>
      <c r="L11" s="14"/>
    </row>
    <row r="12" spans="1:12" x14ac:dyDescent="0.2">
      <c r="D12" s="2"/>
      <c r="E12" s="14"/>
      <c r="F12" s="14"/>
      <c r="G12" s="14"/>
      <c r="H12" s="14"/>
      <c r="I12" s="14"/>
      <c r="J12" s="14"/>
      <c r="K12" s="14"/>
      <c r="L12" s="14"/>
    </row>
    <row r="13" spans="1:12" x14ac:dyDescent="0.2">
      <c r="C13" s="5" t="s">
        <v>13</v>
      </c>
      <c r="D13" s="2"/>
      <c r="E13" s="14"/>
      <c r="F13" s="14"/>
      <c r="G13" s="14"/>
      <c r="H13" s="14"/>
      <c r="I13" s="14"/>
      <c r="J13" s="14"/>
      <c r="K13" s="14"/>
      <c r="L13" s="14"/>
    </row>
    <row r="14" spans="1:12" x14ac:dyDescent="0.2">
      <c r="B14" s="14"/>
      <c r="C14" s="2" t="s">
        <v>14</v>
      </c>
      <c r="D14" s="2"/>
      <c r="E14" s="14"/>
      <c r="F14" s="14"/>
      <c r="G14" s="14"/>
      <c r="H14" s="14"/>
      <c r="I14" s="14"/>
      <c r="J14" s="14"/>
      <c r="K14" s="14"/>
      <c r="L14" s="14"/>
    </row>
    <row r="15" spans="1:12" x14ac:dyDescent="0.2">
      <c r="B15" s="14"/>
      <c r="C15" s="2"/>
      <c r="D15" s="2"/>
      <c r="E15" s="14"/>
      <c r="F15" s="14"/>
      <c r="G15" s="14"/>
      <c r="H15" s="14"/>
      <c r="I15" s="14"/>
      <c r="J15" s="14"/>
      <c r="K15" s="14"/>
      <c r="L15" s="14"/>
    </row>
    <row r="16" spans="1:12" x14ac:dyDescent="0.2">
      <c r="B16" s="14"/>
      <c r="C16" s="5" t="s">
        <v>11</v>
      </c>
      <c r="E16" s="14"/>
      <c r="F16" s="14"/>
      <c r="G16" s="14"/>
      <c r="H16" s="14"/>
      <c r="I16" s="14"/>
      <c r="J16" s="14"/>
      <c r="K16" s="14"/>
      <c r="L16" s="14"/>
    </row>
    <row r="17" spans="2:13" x14ac:dyDescent="0.2">
      <c r="B17" s="14"/>
      <c r="C17" s="2" t="s">
        <v>12</v>
      </c>
      <c r="E17" s="14"/>
      <c r="F17" s="14"/>
      <c r="G17" s="14"/>
      <c r="H17" s="14"/>
      <c r="I17" s="14"/>
      <c r="J17" s="14"/>
      <c r="K17" s="14"/>
      <c r="L17" s="14"/>
    </row>
    <row r="18" spans="2:13" x14ac:dyDescent="0.2">
      <c r="B18" s="14"/>
      <c r="E18" s="14"/>
      <c r="F18" s="14"/>
      <c r="G18" s="14"/>
      <c r="H18" s="14"/>
      <c r="I18" s="14"/>
      <c r="J18" s="14"/>
      <c r="K18" s="14"/>
      <c r="L18" s="14"/>
    </row>
    <row r="19" spans="2:13" x14ac:dyDescent="0.2">
      <c r="B19" s="14"/>
      <c r="C19" s="2" t="s">
        <v>15</v>
      </c>
      <c r="E19" s="14"/>
      <c r="F19" s="14"/>
      <c r="G19" s="14"/>
      <c r="H19" s="14"/>
      <c r="I19" s="14"/>
      <c r="J19" s="14"/>
      <c r="K19" s="14"/>
      <c r="L19" s="14"/>
    </row>
    <row r="20" spans="2:13" x14ac:dyDescent="0.2">
      <c r="B20" s="14"/>
      <c r="C20" s="2" t="s">
        <v>16</v>
      </c>
      <c r="G20" s="14"/>
      <c r="H20" s="14"/>
      <c r="I20" s="14"/>
      <c r="J20" s="14"/>
      <c r="K20" s="14"/>
      <c r="L20" s="14"/>
    </row>
    <row r="21" spans="2:13" x14ac:dyDescent="0.2">
      <c r="B21" s="14"/>
      <c r="G21" s="14"/>
      <c r="H21" s="14"/>
      <c r="I21" s="14"/>
      <c r="J21" s="14"/>
      <c r="K21" s="14"/>
      <c r="L21" s="14"/>
    </row>
    <row r="22" spans="2:13" x14ac:dyDescent="0.2">
      <c r="B22" s="14"/>
      <c r="C22" s="4" t="s">
        <v>25</v>
      </c>
      <c r="G22" s="14"/>
      <c r="H22" s="14"/>
      <c r="I22" s="14"/>
      <c r="J22" s="14"/>
      <c r="K22" s="14"/>
      <c r="L22" s="14"/>
    </row>
    <row r="23" spans="2:13" x14ac:dyDescent="0.2">
      <c r="B23" s="14"/>
      <c r="C23" t="s">
        <v>26</v>
      </c>
      <c r="G23" s="14"/>
      <c r="H23" s="14"/>
      <c r="I23" s="14"/>
      <c r="J23" s="14"/>
      <c r="K23" s="14"/>
      <c r="L23" s="14"/>
    </row>
    <row r="24" spans="2:13" x14ac:dyDescent="0.2">
      <c r="B24" s="14"/>
      <c r="C24" t="s">
        <v>27</v>
      </c>
      <c r="G24" s="14"/>
      <c r="H24" s="14"/>
      <c r="I24" s="14"/>
      <c r="J24" s="14"/>
      <c r="K24" s="14"/>
      <c r="L24" s="14"/>
    </row>
    <row r="25" spans="2:13" x14ac:dyDescent="0.2">
      <c r="B25" s="14"/>
      <c r="C25" t="s">
        <v>28</v>
      </c>
      <c r="G25" s="14"/>
      <c r="H25" s="14"/>
      <c r="I25" s="14"/>
      <c r="J25" s="14"/>
      <c r="K25" s="14"/>
      <c r="L25" s="14"/>
    </row>
    <row r="26" spans="2:13" x14ac:dyDescent="0.2">
      <c r="K26" s="2"/>
      <c r="L26" s="2"/>
      <c r="M26" s="2"/>
    </row>
    <row r="27" spans="2:13" x14ac:dyDescent="0.2">
      <c r="C27" s="4" t="s">
        <v>81</v>
      </c>
      <c r="M27" s="2"/>
    </row>
    <row r="28" spans="2:13" x14ac:dyDescent="0.2">
      <c r="C28" t="s">
        <v>17</v>
      </c>
      <c r="M28" s="2"/>
    </row>
    <row r="29" spans="2:13" x14ac:dyDescent="0.2">
      <c r="C29" t="s">
        <v>19</v>
      </c>
      <c r="M29" s="2"/>
    </row>
    <row r="30" spans="2:13" x14ac:dyDescent="0.2">
      <c r="C30" t="s">
        <v>20</v>
      </c>
      <c r="M30" s="2"/>
    </row>
    <row r="31" spans="2:13" x14ac:dyDescent="0.2">
      <c r="C31" t="s">
        <v>18</v>
      </c>
    </row>
    <row r="32" spans="2:13" x14ac:dyDescent="0.2">
      <c r="C32" t="s">
        <v>24</v>
      </c>
    </row>
    <row r="33" spans="3:5" x14ac:dyDescent="0.2">
      <c r="C33" t="s">
        <v>21</v>
      </c>
    </row>
    <row r="34" spans="3:5" x14ac:dyDescent="0.2">
      <c r="C34" t="s">
        <v>22</v>
      </c>
    </row>
    <row r="35" spans="3:5" x14ac:dyDescent="0.2">
      <c r="C35" t="s">
        <v>23</v>
      </c>
    </row>
    <row r="37" spans="3:5" x14ac:dyDescent="0.2">
      <c r="C37" t="s">
        <v>142</v>
      </c>
    </row>
    <row r="38" spans="3:5" x14ac:dyDescent="0.2">
      <c r="C38" t="s">
        <v>143</v>
      </c>
      <c r="E38" s="28">
        <v>697</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5DD54-6414-4353-99EA-1009C683FA01}">
  <dimension ref="A1:U95"/>
  <sheetViews>
    <sheetView workbookViewId="0">
      <pane xSplit="1" ySplit="3" topLeftCell="C76" activePane="bottomRight" state="frozen"/>
      <selection pane="topRight" activeCell="B1" sqref="B1"/>
      <selection pane="bottomLeft" activeCell="A4" sqref="A4"/>
      <selection pane="bottomRight" activeCell="S95" sqref="S95"/>
    </sheetView>
  </sheetViews>
  <sheetFormatPr defaultRowHeight="12.75" x14ac:dyDescent="0.2"/>
  <cols>
    <col min="1" max="1" width="17.5703125" style="2" bestFit="1" customWidth="1"/>
    <col min="2" max="15" width="10.140625" style="2" bestFit="1" customWidth="1"/>
    <col min="16" max="16384" width="9.140625" style="2"/>
  </cols>
  <sheetData>
    <row r="1" spans="1:21" ht="34.5" x14ac:dyDescent="0.45">
      <c r="A1" s="3" t="s">
        <v>0</v>
      </c>
      <c r="B1" s="3"/>
      <c r="C1" s="3"/>
      <c r="D1" s="3"/>
      <c r="E1" s="3"/>
    </row>
    <row r="2" spans="1:21" s="11" customFormat="1" x14ac:dyDescent="0.2">
      <c r="A2" s="11" t="s">
        <v>1</v>
      </c>
      <c r="B2" s="11">
        <v>44286</v>
      </c>
      <c r="C2" s="11">
        <v>44377</v>
      </c>
      <c r="D2" s="11">
        <v>44469</v>
      </c>
      <c r="E2" s="11">
        <v>44561</v>
      </c>
      <c r="F2" s="11">
        <v>44651</v>
      </c>
      <c r="G2" s="11">
        <v>44742</v>
      </c>
      <c r="H2" s="11">
        <v>44834</v>
      </c>
      <c r="I2" s="11">
        <v>44926</v>
      </c>
      <c r="J2" s="11">
        <v>45016</v>
      </c>
      <c r="K2" s="11">
        <v>45016</v>
      </c>
      <c r="L2" s="11">
        <v>45107</v>
      </c>
      <c r="M2" s="11">
        <v>45199</v>
      </c>
      <c r="N2" s="11">
        <v>45291</v>
      </c>
      <c r="O2" s="11">
        <v>45382</v>
      </c>
    </row>
    <row r="3" spans="1:21" s="9" customFormat="1" x14ac:dyDescent="0.2">
      <c r="A3" s="8" t="s">
        <v>2</v>
      </c>
      <c r="B3" s="9" t="s">
        <v>56</v>
      </c>
      <c r="C3" s="9" t="s">
        <v>57</v>
      </c>
      <c r="D3" s="9" t="s">
        <v>58</v>
      </c>
      <c r="E3" s="9" t="s">
        <v>59</v>
      </c>
      <c r="F3" s="9" t="s">
        <v>51</v>
      </c>
      <c r="G3" s="9" t="s">
        <v>52</v>
      </c>
      <c r="H3" s="9" t="s">
        <v>53</v>
      </c>
      <c r="I3" s="9" t="s">
        <v>50</v>
      </c>
      <c r="J3" s="9" t="s">
        <v>10</v>
      </c>
      <c r="K3" s="9" t="s">
        <v>10</v>
      </c>
      <c r="L3" s="9" t="s">
        <v>54</v>
      </c>
      <c r="M3" s="9" t="s">
        <v>55</v>
      </c>
      <c r="N3" s="9" t="s">
        <v>49</v>
      </c>
      <c r="O3" s="9" t="s">
        <v>9</v>
      </c>
      <c r="S3" s="9">
        <v>2021</v>
      </c>
      <c r="T3" s="9">
        <v>2022</v>
      </c>
      <c r="U3" s="9">
        <v>2023</v>
      </c>
    </row>
    <row r="4" spans="1:21" s="5" customFormat="1" x14ac:dyDescent="0.2">
      <c r="A4" s="5" t="s">
        <v>29</v>
      </c>
      <c r="B4" s="5">
        <v>478.423</v>
      </c>
      <c r="C4" s="5">
        <v>498.18</v>
      </c>
      <c r="D4" s="5">
        <v>517.09900000000005</v>
      </c>
      <c r="E4" s="5">
        <v>549.84199999999998</v>
      </c>
      <c r="F4" s="5">
        <v>559.94500000000005</v>
      </c>
      <c r="G4" s="5">
        <v>551.80600000000004</v>
      </c>
      <c r="H4" s="5">
        <v>560.63900000000001</v>
      </c>
      <c r="I4" s="5">
        <v>576.20799999999997</v>
      </c>
      <c r="J4" s="5">
        <v>592.21799999999996</v>
      </c>
      <c r="K4" s="5">
        <v>592.21799999999996</v>
      </c>
      <c r="L4" s="5">
        <v>621.15700000000004</v>
      </c>
      <c r="M4" s="5">
        <v>625.43899999999996</v>
      </c>
      <c r="N4" s="5">
        <v>690.10599999999999</v>
      </c>
      <c r="O4" s="5">
        <v>679.96500000000003</v>
      </c>
      <c r="S4" s="5">
        <v>2043.5440000000001</v>
      </c>
      <c r="T4" s="5">
        <v>2248.598</v>
      </c>
      <c r="U4" s="5">
        <v>2528.92</v>
      </c>
    </row>
    <row r="5" spans="1:21" x14ac:dyDescent="0.2">
      <c r="A5" s="2" t="s">
        <v>30</v>
      </c>
      <c r="B5" s="2">
        <v>85.78</v>
      </c>
      <c r="C5" s="2">
        <v>87.326999999999998</v>
      </c>
      <c r="D5" s="2">
        <v>89.674000000000007</v>
      </c>
      <c r="E5" s="2">
        <v>95.903000000000006</v>
      </c>
      <c r="F5" s="2">
        <v>102.771</v>
      </c>
      <c r="G5" s="2">
        <v>100.768</v>
      </c>
      <c r="H5" s="2">
        <v>98.418000000000006</v>
      </c>
      <c r="I5" s="2">
        <v>102.384</v>
      </c>
      <c r="J5" s="2">
        <v>108.64700000000001</v>
      </c>
      <c r="K5" s="2">
        <v>108.64700000000001</v>
      </c>
      <c r="L5" s="2">
        <v>110.066</v>
      </c>
      <c r="M5" s="2">
        <v>105.31100000000001</v>
      </c>
      <c r="N5" s="2">
        <v>122.557</v>
      </c>
      <c r="O5" s="2">
        <v>128.51400000000001</v>
      </c>
      <c r="S5" s="2">
        <v>358.68400000000003</v>
      </c>
      <c r="T5" s="2">
        <v>404.34100000000001</v>
      </c>
      <c r="U5" s="2">
        <v>446.58100000000002</v>
      </c>
    </row>
    <row r="6" spans="1:21" x14ac:dyDescent="0.2">
      <c r="A6" s="2" t="s">
        <v>31</v>
      </c>
      <c r="B6" s="2">
        <f>+B4-B5</f>
        <v>392.64300000000003</v>
      </c>
      <c r="C6" s="2">
        <f>+C4-C5</f>
        <v>410.85300000000001</v>
      </c>
      <c r="D6" s="2">
        <f>+D4-D5</f>
        <v>427.42500000000007</v>
      </c>
      <c r="E6" s="2">
        <f>+E4-E5</f>
        <v>453.93899999999996</v>
      </c>
      <c r="F6" s="2">
        <f>+F4-F5</f>
        <v>457.17400000000004</v>
      </c>
      <c r="G6" s="2">
        <f>+G4-G5</f>
        <v>451.03800000000001</v>
      </c>
      <c r="H6" s="2">
        <f>+H4-H5</f>
        <v>462.221</v>
      </c>
      <c r="I6" s="2">
        <f>+I4-I5</f>
        <v>473.82399999999996</v>
      </c>
      <c r="J6" s="2">
        <f>+J4-J5</f>
        <v>483.57099999999997</v>
      </c>
      <c r="K6" s="2">
        <f>+K4-K5</f>
        <v>483.57099999999997</v>
      </c>
      <c r="L6" s="2">
        <f>+L4-L5</f>
        <v>511.09100000000001</v>
      </c>
      <c r="M6" s="2">
        <f>+M4-M5</f>
        <v>520.12799999999993</v>
      </c>
      <c r="N6" s="2">
        <f>+N4-N5</f>
        <v>567.54899999999998</v>
      </c>
      <c r="O6" s="2">
        <f>+O4-O5</f>
        <v>551.45100000000002</v>
      </c>
      <c r="S6" s="2">
        <f>+S4-S5</f>
        <v>1684.8600000000001</v>
      </c>
      <c r="T6" s="2">
        <f>+T4-T5</f>
        <v>1844.2570000000001</v>
      </c>
      <c r="U6" s="2">
        <f>+U4-U5</f>
        <v>2082.3389999999999</v>
      </c>
    </row>
    <row r="7" spans="1:21" x14ac:dyDescent="0.2">
      <c r="A7" s="2" t="s">
        <v>32</v>
      </c>
      <c r="B7" s="2">
        <v>56.466999999999999</v>
      </c>
      <c r="C7" s="2">
        <v>58.191000000000003</v>
      </c>
      <c r="D7" s="2">
        <v>59.819000000000003</v>
      </c>
      <c r="E7" s="2">
        <v>68.707999999999998</v>
      </c>
      <c r="F7" s="2">
        <v>66.052999999999997</v>
      </c>
      <c r="G7" s="2">
        <v>61.073</v>
      </c>
      <c r="H7" s="2">
        <v>65.545000000000002</v>
      </c>
      <c r="I7" s="2">
        <v>71.912000000000006</v>
      </c>
      <c r="J7" s="2">
        <v>66.474999999999994</v>
      </c>
      <c r="K7" s="2">
        <v>66.474999999999994</v>
      </c>
      <c r="L7" s="2">
        <v>67.988</v>
      </c>
      <c r="M7" s="2">
        <v>66.581000000000003</v>
      </c>
      <c r="N7" s="2">
        <v>75.16</v>
      </c>
      <c r="O7" s="2">
        <v>72.168000000000006</v>
      </c>
      <c r="S7" s="2">
        <v>243.185</v>
      </c>
      <c r="T7" s="2">
        <v>264.58300000000003</v>
      </c>
      <c r="U7" s="2">
        <v>276.20400000000001</v>
      </c>
    </row>
    <row r="8" spans="1:21" x14ac:dyDescent="0.2">
      <c r="A8" s="2" t="s">
        <v>34</v>
      </c>
      <c r="B8" s="2">
        <v>24.861999999999998</v>
      </c>
      <c r="C8" s="2">
        <v>27.530999999999999</v>
      </c>
      <c r="D8" s="2">
        <v>28.352</v>
      </c>
      <c r="E8" s="2">
        <v>30.818999999999999</v>
      </c>
      <c r="F8" s="2">
        <v>28.321999999999999</v>
      </c>
      <c r="G8" s="2">
        <v>23.916</v>
      </c>
      <c r="H8" s="2">
        <v>25.940999999999999</v>
      </c>
      <c r="I8" s="2">
        <v>29.026</v>
      </c>
      <c r="J8" s="2">
        <v>31.323</v>
      </c>
      <c r="K8" s="2">
        <v>31.323</v>
      </c>
      <c r="L8" s="2">
        <v>30.14</v>
      </c>
      <c r="M8" s="2">
        <v>31.437999999999999</v>
      </c>
      <c r="N8" s="2">
        <v>39.22</v>
      </c>
      <c r="O8" s="2">
        <v>40.524999999999999</v>
      </c>
      <c r="S8" s="2">
        <v>111.56399999999999</v>
      </c>
      <c r="T8" s="2">
        <v>107.205</v>
      </c>
      <c r="U8" s="2">
        <v>132.12100000000001</v>
      </c>
    </row>
    <row r="9" spans="1:21" x14ac:dyDescent="0.2">
      <c r="A9" s="2" t="s">
        <v>33</v>
      </c>
      <c r="B9" s="2">
        <v>34.728000000000002</v>
      </c>
      <c r="C9" s="2">
        <v>30.181999999999999</v>
      </c>
      <c r="D9" s="2">
        <v>38.11</v>
      </c>
      <c r="E9" s="2">
        <v>44.872999999999998</v>
      </c>
      <c r="F9" s="2">
        <v>45.567</v>
      </c>
      <c r="G9" s="2">
        <v>36.723999999999997</v>
      </c>
      <c r="H9" s="2">
        <v>30.802</v>
      </c>
      <c r="I9" s="2">
        <v>33.863999999999997</v>
      </c>
      <c r="J9" s="2">
        <v>41.043999999999997</v>
      </c>
      <c r="K9" s="2">
        <v>41.043999999999997</v>
      </c>
      <c r="L9" s="2">
        <v>35.656999999999996</v>
      </c>
      <c r="M9" s="2">
        <v>36.826000000000001</v>
      </c>
      <c r="N9" s="2">
        <v>40.44</v>
      </c>
      <c r="O9" s="2">
        <v>56.691000000000003</v>
      </c>
      <c r="S9" s="2">
        <v>147.893</v>
      </c>
      <c r="T9" s="2">
        <v>146.857</v>
      </c>
      <c r="U9" s="2">
        <v>153.96700000000001</v>
      </c>
    </row>
    <row r="10" spans="1:21" x14ac:dyDescent="0.2">
      <c r="A10" s="2" t="s">
        <v>35</v>
      </c>
      <c r="B10" s="2">
        <f>+SUM(B7:B9)</f>
        <v>116.05699999999999</v>
      </c>
      <c r="C10" s="2">
        <f>+SUM(C7:C9)</f>
        <v>115.90400000000001</v>
      </c>
      <c r="D10" s="2">
        <f>+SUM(D7:D9)</f>
        <v>126.28100000000001</v>
      </c>
      <c r="E10" s="2">
        <f>+SUM(E7:E9)</f>
        <v>144.4</v>
      </c>
      <c r="F10" s="2">
        <f>+SUM(F7:F9)</f>
        <v>139.94200000000001</v>
      </c>
      <c r="G10" s="2">
        <f>+SUM(G7:G9)</f>
        <v>121.71299999999999</v>
      </c>
      <c r="H10" s="2">
        <f>+SUM(H7:H9)</f>
        <v>122.28800000000001</v>
      </c>
      <c r="I10" s="2">
        <f>+SUM(I7:I9)</f>
        <v>134.80199999999999</v>
      </c>
      <c r="J10" s="2">
        <f>+SUM(J7:J9)</f>
        <v>138.84199999999998</v>
      </c>
      <c r="K10" s="2">
        <f>+SUM(K7:K9)</f>
        <v>138.84199999999998</v>
      </c>
      <c r="L10" s="2">
        <f>+SUM(L7:L9)</f>
        <v>133.785</v>
      </c>
      <c r="M10" s="2">
        <f>+SUM(M7:M9)</f>
        <v>134.845</v>
      </c>
      <c r="N10" s="2">
        <f>+SUM(N7:N9)</f>
        <v>154.82</v>
      </c>
      <c r="O10" s="2">
        <f>+SUM(O7:O9)</f>
        <v>169.38400000000001</v>
      </c>
      <c r="S10" s="2">
        <f>+SUM(S7:S9)</f>
        <v>502.64200000000005</v>
      </c>
      <c r="T10" s="2">
        <f>+SUM(T7:T9)</f>
        <v>518.64499999999998</v>
      </c>
      <c r="U10" s="2">
        <f>+SUM(U7:U9)</f>
        <v>562.29200000000003</v>
      </c>
    </row>
    <row r="11" spans="1:21" s="5" customFormat="1" x14ac:dyDescent="0.2">
      <c r="A11" s="5" t="s">
        <v>36</v>
      </c>
      <c r="B11" s="5">
        <f>+B6-B10</f>
        <v>276.58600000000001</v>
      </c>
      <c r="C11" s="5">
        <f>+C6-C10</f>
        <v>294.94900000000001</v>
      </c>
      <c r="D11" s="5">
        <f>+D6-D10</f>
        <v>301.14400000000006</v>
      </c>
      <c r="E11" s="5">
        <f>+E6-E10</f>
        <v>309.53899999999999</v>
      </c>
      <c r="F11" s="5">
        <f>+F6-F10</f>
        <v>317.23200000000003</v>
      </c>
      <c r="G11" s="5">
        <f>+G6-G10</f>
        <v>329.32500000000005</v>
      </c>
      <c r="H11" s="5">
        <f>+H6-H10</f>
        <v>339.93299999999999</v>
      </c>
      <c r="I11" s="5">
        <f>+I6-I10</f>
        <v>339.02199999999993</v>
      </c>
      <c r="J11" s="5">
        <f>+J6-J10</f>
        <v>344.72899999999998</v>
      </c>
      <c r="K11" s="5">
        <f>+K6-K10</f>
        <v>344.72899999999998</v>
      </c>
      <c r="L11" s="5">
        <f>+L6-L10</f>
        <v>377.30600000000004</v>
      </c>
      <c r="M11" s="5">
        <f>+M6-M10</f>
        <v>385.2829999999999</v>
      </c>
      <c r="N11" s="5">
        <f>+N6-N10</f>
        <v>412.72899999999998</v>
      </c>
      <c r="O11" s="5">
        <f>+O6-O10</f>
        <v>382.06700000000001</v>
      </c>
      <c r="S11" s="5">
        <f>+S6-S10</f>
        <v>1182.2180000000001</v>
      </c>
      <c r="T11" s="5">
        <f>+T6-T10</f>
        <v>1325.6120000000001</v>
      </c>
      <c r="U11" s="5">
        <f>+U6-U10</f>
        <v>1520.047</v>
      </c>
    </row>
    <row r="12" spans="1:21" x14ac:dyDescent="0.2">
      <c r="A12" s="2" t="s">
        <v>37</v>
      </c>
      <c r="B12" s="2">
        <v>0.38600000000000001</v>
      </c>
      <c r="C12" s="2">
        <v>0.34699999999999998</v>
      </c>
      <c r="D12" s="2">
        <v>0.39600000000000002</v>
      </c>
      <c r="E12" s="2">
        <v>0.36799999999999999</v>
      </c>
      <c r="F12" s="2">
        <v>0.29799999999999999</v>
      </c>
      <c r="G12" s="2">
        <v>0.92400000000000004</v>
      </c>
      <c r="H12" s="2">
        <v>3.9380000000000002</v>
      </c>
      <c r="I12" s="2">
        <v>6.609</v>
      </c>
      <c r="J12" s="2">
        <v>10.362</v>
      </c>
      <c r="K12" s="2">
        <v>10.362</v>
      </c>
      <c r="L12" s="2">
        <v>10.403</v>
      </c>
      <c r="M12" s="2">
        <v>10.314</v>
      </c>
      <c r="N12" s="2">
        <v>3.4</v>
      </c>
      <c r="O12" s="2">
        <v>6.048</v>
      </c>
      <c r="S12" s="2">
        <v>1.4970000000000001</v>
      </c>
      <c r="T12" s="2">
        <v>11.769</v>
      </c>
      <c r="U12" s="2">
        <v>34.478999999999999</v>
      </c>
    </row>
    <row r="13" spans="1:21" x14ac:dyDescent="0.2">
      <c r="A13" s="2" t="s">
        <v>38</v>
      </c>
      <c r="B13" s="2">
        <v>-37.584000000000003</v>
      </c>
      <c r="C13" s="2">
        <v>-39.557000000000002</v>
      </c>
      <c r="D13" s="2">
        <v>-42.137</v>
      </c>
      <c r="E13" s="2">
        <v>-40.335999999999999</v>
      </c>
      <c r="F13" s="2">
        <v>-40.713999999999999</v>
      </c>
      <c r="G13" s="2">
        <v>-41.085000000000001</v>
      </c>
      <c r="H13" s="2">
        <v>-44.161999999999999</v>
      </c>
      <c r="I13" s="2">
        <v>-45.61</v>
      </c>
      <c r="J13" s="2">
        <v>-46.206000000000003</v>
      </c>
      <c r="K13" s="2">
        <v>-46.206000000000003</v>
      </c>
      <c r="L13" s="2">
        <v>-46.616999999999997</v>
      </c>
      <c r="M13" s="2">
        <v>-46.902000000000001</v>
      </c>
      <c r="N13" s="2">
        <v>-46.954000000000001</v>
      </c>
      <c r="O13" s="2">
        <v>-46.673999999999999</v>
      </c>
      <c r="S13" s="2">
        <v>-159.614</v>
      </c>
      <c r="T13" s="2">
        <v>-171.571</v>
      </c>
      <c r="U13" s="2">
        <v>-186.679</v>
      </c>
    </row>
    <row r="14" spans="1:21" x14ac:dyDescent="0.2">
      <c r="A14" s="2" t="s">
        <v>39</v>
      </c>
      <c r="B14" s="2">
        <v>-1.149</v>
      </c>
      <c r="C14" s="2">
        <v>-22.628</v>
      </c>
      <c r="D14" s="2">
        <v>-37.838999999999999</v>
      </c>
      <c r="E14" s="2">
        <v>5.1440000000000001</v>
      </c>
      <c r="F14" s="2">
        <v>0.38100000000000001</v>
      </c>
      <c r="G14" s="2">
        <v>-0.188</v>
      </c>
      <c r="H14" s="2">
        <v>-0.10299999999999999</v>
      </c>
      <c r="I14" s="2">
        <v>-4.0869999999999997</v>
      </c>
      <c r="J14" s="2">
        <v>-2.3860000000000001</v>
      </c>
      <c r="K14" s="2">
        <v>-2.3860000000000001</v>
      </c>
      <c r="L14" s="2">
        <v>-2.581</v>
      </c>
      <c r="M14" s="2">
        <v>0.93500000000000005</v>
      </c>
      <c r="N14" s="2">
        <v>-2.3450000000000002</v>
      </c>
      <c r="O14" s="2">
        <v>-2.863</v>
      </c>
      <c r="S14" s="2">
        <v>-56.472000000000001</v>
      </c>
      <c r="T14" s="2">
        <v>-3.9969999999999999</v>
      </c>
      <c r="U14" s="2">
        <v>-6.3769999999999998</v>
      </c>
    </row>
    <row r="15" spans="1:21" x14ac:dyDescent="0.2">
      <c r="A15" s="2" t="s">
        <v>40</v>
      </c>
      <c r="B15" s="2">
        <f>+SUM(B12:B14)+B11</f>
        <v>238.239</v>
      </c>
      <c r="C15" s="2">
        <f>+SUM(C12:C14)+C11</f>
        <v>233.11100000000002</v>
      </c>
      <c r="D15" s="2">
        <f>+SUM(D12:D14)+D11</f>
        <v>221.56400000000008</v>
      </c>
      <c r="E15" s="2">
        <f>+SUM(E12:E14)+E11</f>
        <v>274.71499999999997</v>
      </c>
      <c r="F15" s="2">
        <f>+SUM(F12:F14)+F11</f>
        <v>277.197</v>
      </c>
      <c r="G15" s="2">
        <f>+SUM(G12:G14)+G11</f>
        <v>288.97600000000006</v>
      </c>
      <c r="H15" s="2">
        <f>+SUM(H12:H14)+H11</f>
        <v>299.60599999999999</v>
      </c>
      <c r="I15" s="2">
        <f>+SUM(I12:I14)+I11</f>
        <v>295.93399999999997</v>
      </c>
      <c r="J15" s="2">
        <f>+SUM(J12:J14)+J11</f>
        <v>306.49899999999997</v>
      </c>
      <c r="K15" s="2">
        <f>+SUM(K12:K14)+K11</f>
        <v>306.49899999999997</v>
      </c>
      <c r="L15" s="2">
        <f>+SUM(L12:L14)+L11</f>
        <v>338.51100000000002</v>
      </c>
      <c r="M15" s="2">
        <f>+SUM(M12:M14)+M11</f>
        <v>349.62999999999988</v>
      </c>
      <c r="N15" s="2">
        <f>+SUM(N12:N14)+N11</f>
        <v>366.83</v>
      </c>
      <c r="O15" s="2">
        <f>+SUM(O12:O14)+O11</f>
        <v>338.57800000000003</v>
      </c>
      <c r="S15" s="2">
        <f>+SUM(S12:S14)+S11</f>
        <v>967.62900000000013</v>
      </c>
      <c r="T15" s="2">
        <f>+SUM(T12:T14)+T11</f>
        <v>1161.8130000000001</v>
      </c>
      <c r="U15" s="2">
        <f>+SUM(U12:U14)+U11</f>
        <v>1361.47</v>
      </c>
    </row>
    <row r="16" spans="1:21" x14ac:dyDescent="0.2">
      <c r="A16" s="2" t="s">
        <v>41</v>
      </c>
      <c r="B16" s="2">
        <v>19.209</v>
      </c>
      <c r="C16" s="2">
        <v>30.271999999999998</v>
      </c>
      <c r="D16" s="2">
        <v>30.774000000000001</v>
      </c>
      <c r="E16" s="2">
        <v>51.898000000000003</v>
      </c>
      <c r="F16" s="2">
        <v>20.52</v>
      </c>
      <c r="G16" s="2">
        <v>49.445</v>
      </c>
      <c r="H16" s="2">
        <v>52.612000000000002</v>
      </c>
      <c r="I16" s="2">
        <v>50.691000000000003</v>
      </c>
      <c r="J16" s="2">
        <v>37.643999999999998</v>
      </c>
      <c r="K16" s="2">
        <v>37.643999999999998</v>
      </c>
      <c r="L16" s="2">
        <v>60.332999999999998</v>
      </c>
      <c r="M16" s="2">
        <v>57.997</v>
      </c>
      <c r="N16" s="2">
        <v>64.495000000000005</v>
      </c>
      <c r="O16" s="2">
        <v>39.939</v>
      </c>
      <c r="S16" s="2">
        <v>132.15299999999999</v>
      </c>
      <c r="T16" s="2">
        <v>173.268</v>
      </c>
      <c r="U16" s="2">
        <v>220.46899999999999</v>
      </c>
    </row>
    <row r="17" spans="1:21" s="5" customFormat="1" x14ac:dyDescent="0.2">
      <c r="A17" s="5" t="s">
        <v>42</v>
      </c>
      <c r="B17" s="5">
        <f>+B15-B16</f>
        <v>219.03</v>
      </c>
      <c r="C17" s="5">
        <f>+C15-C16</f>
        <v>202.83900000000003</v>
      </c>
      <c r="D17" s="5">
        <f>+D15-D16</f>
        <v>190.79000000000008</v>
      </c>
      <c r="E17" s="5">
        <f>+E15-E16</f>
        <v>222.81699999999998</v>
      </c>
      <c r="F17" s="5">
        <f>+F15-F16</f>
        <v>256.67700000000002</v>
      </c>
      <c r="G17" s="5">
        <f>+G15-G16</f>
        <v>239.53100000000006</v>
      </c>
      <c r="H17" s="5">
        <f>+H15-H16</f>
        <v>246.994</v>
      </c>
      <c r="I17" s="5">
        <f>+I15-I16</f>
        <v>245.24299999999997</v>
      </c>
      <c r="J17" s="5">
        <f>+J15-J16</f>
        <v>268.85499999999996</v>
      </c>
      <c r="K17" s="5">
        <f>+K15-K16</f>
        <v>268.85499999999996</v>
      </c>
      <c r="L17" s="5">
        <f>+L15-L16</f>
        <v>278.178</v>
      </c>
      <c r="M17" s="5">
        <f>+M15-M16</f>
        <v>291.63299999999987</v>
      </c>
      <c r="N17" s="5">
        <f>+N15-N16</f>
        <v>302.33499999999998</v>
      </c>
      <c r="O17" s="5">
        <f>+O15-O16</f>
        <v>298.63900000000001</v>
      </c>
      <c r="S17" s="5">
        <f>+S15-S16</f>
        <v>835.47600000000011</v>
      </c>
      <c r="T17" s="5">
        <f>+T15-T16</f>
        <v>988.54500000000007</v>
      </c>
      <c r="U17" s="5">
        <f>+U15-U16</f>
        <v>1141.001</v>
      </c>
    </row>
    <row r="18" spans="1:21" x14ac:dyDescent="0.2">
      <c r="A18" s="2" t="s">
        <v>43</v>
      </c>
      <c r="B18" s="6">
        <f>+B17/B19</f>
        <v>2.6233336926448927</v>
      </c>
      <c r="C18" s="6">
        <f>+C17/C19</f>
        <v>2.4351881865658207</v>
      </c>
      <c r="D18" s="6">
        <f>+D17/D19</f>
        <v>2.2834334681762702</v>
      </c>
      <c r="E18" s="6">
        <f>+E17/E19</f>
        <v>2.665976692431022</v>
      </c>
      <c r="F18" s="6">
        <f>+F17/F19</f>
        <v>3.1193277106676716</v>
      </c>
      <c r="G18" s="6">
        <f>+G17/G19</f>
        <v>2.9464419706008989</v>
      </c>
      <c r="H18" s="6">
        <f>+H17/H19</f>
        <v>3.0540594010435989</v>
      </c>
      <c r="I18" s="6">
        <f>+I17/I19</f>
        <v>3.0493758082164519</v>
      </c>
      <c r="J18" s="6">
        <f>+J17/J19</f>
        <v>3.3405606222509379</v>
      </c>
      <c r="K18" s="6">
        <f>+K17/K19</f>
        <v>3.3405606222509379</v>
      </c>
      <c r="L18" s="6">
        <f>+L17/L19</f>
        <v>3.4813591139478128</v>
      </c>
      <c r="M18" s="6">
        <f>+M17/M19</f>
        <v>3.6683396226415077</v>
      </c>
      <c r="N18" s="6">
        <f>+N17/N19</f>
        <v>3.8030038113686966</v>
      </c>
      <c r="O18" s="6">
        <f>+O17/O19</f>
        <v>3.7560874377421145</v>
      </c>
      <c r="S18" s="6">
        <f>+S17/S19</f>
        <v>10.00821763557302</v>
      </c>
      <c r="T18" s="6">
        <f>+T17/T19</f>
        <v>12.171950994274457</v>
      </c>
      <c r="U18" s="6">
        <f>+U17/U19</f>
        <v>14.290557719524566</v>
      </c>
    </row>
    <row r="19" spans="1:21" x14ac:dyDescent="0.2">
      <c r="A19" s="2" t="s">
        <v>4</v>
      </c>
      <c r="B19" s="2">
        <v>83.492999999999995</v>
      </c>
      <c r="C19" s="2">
        <v>83.295000000000002</v>
      </c>
      <c r="D19" s="2">
        <v>83.554000000000002</v>
      </c>
      <c r="E19" s="2">
        <v>83.578000000000003</v>
      </c>
      <c r="F19" s="2">
        <v>82.286000000000001</v>
      </c>
      <c r="G19" s="2">
        <v>81.295000000000002</v>
      </c>
      <c r="H19" s="2">
        <v>80.873999999999995</v>
      </c>
      <c r="I19" s="2">
        <v>80.424000000000007</v>
      </c>
      <c r="J19" s="2">
        <v>80.481999999999999</v>
      </c>
      <c r="K19" s="2">
        <v>80.481999999999999</v>
      </c>
      <c r="L19" s="2">
        <v>79.905000000000001</v>
      </c>
      <c r="M19" s="2">
        <v>79.5</v>
      </c>
      <c r="N19" s="2">
        <v>79.498999999999995</v>
      </c>
      <c r="O19" s="2">
        <v>79.507999999999996</v>
      </c>
      <c r="S19" s="2">
        <v>83.478999999999999</v>
      </c>
      <c r="T19" s="2">
        <v>81.215000000000003</v>
      </c>
      <c r="U19" s="2">
        <v>79.843000000000004</v>
      </c>
    </row>
    <row r="21" spans="1:21" s="7" customFormat="1" x14ac:dyDescent="0.2">
      <c r="A21" s="7" t="s">
        <v>44</v>
      </c>
      <c r="B21" s="7">
        <f>+B6/B4</f>
        <v>0.82070260000041806</v>
      </c>
      <c r="C21" s="7">
        <f>+C6/C4</f>
        <v>0.82470793689028066</v>
      </c>
      <c r="D21" s="7">
        <f>+D6/D4</f>
        <v>0.82658253061792819</v>
      </c>
      <c r="E21" s="7">
        <f>+E6/E4</f>
        <v>0.82558080321255922</v>
      </c>
      <c r="F21" s="7">
        <f>+F6/F4</f>
        <v>0.81646233112180655</v>
      </c>
      <c r="G21" s="7">
        <f>+G6/G4</f>
        <v>0.8173850954864571</v>
      </c>
      <c r="H21" s="7">
        <f>+H6/H4</f>
        <v>0.82445388208811732</v>
      </c>
      <c r="I21" s="7">
        <f>+I6/I4</f>
        <v>0.82231416432954763</v>
      </c>
      <c r="J21" s="7">
        <f>+J6/J4</f>
        <v>0.81654221925034365</v>
      </c>
      <c r="K21" s="7">
        <f>+K6/K4</f>
        <v>0.81654221925034365</v>
      </c>
      <c r="L21" s="7">
        <f>+L6/L4</f>
        <v>0.82280486253877838</v>
      </c>
      <c r="M21" s="7">
        <f>+M6/M4</f>
        <v>0.83162066964164361</v>
      </c>
      <c r="N21" s="7">
        <f>+N6/N4</f>
        <v>0.82240844160172488</v>
      </c>
      <c r="O21" s="7">
        <f>+O6/O4</f>
        <v>0.81099909554168226</v>
      </c>
      <c r="S21" s="7">
        <f>+S6/S4</f>
        <v>0.82447943376800303</v>
      </c>
      <c r="T21" s="7">
        <f>+T6/T4</f>
        <v>0.82018084157328264</v>
      </c>
      <c r="U21" s="7">
        <f>+U6/U4</f>
        <v>0.82341038862439297</v>
      </c>
    </row>
    <row r="22" spans="1:21" s="7" customFormat="1" x14ac:dyDescent="0.2">
      <c r="A22" s="7" t="s">
        <v>45</v>
      </c>
      <c r="B22" s="7">
        <f>+B11/B4</f>
        <v>0.57812019907069689</v>
      </c>
      <c r="C22" s="7">
        <f>+C11/C4</f>
        <v>0.59205307318639855</v>
      </c>
      <c r="D22" s="7">
        <f>+D11/D4</f>
        <v>0.5823720409438039</v>
      </c>
      <c r="E22" s="7">
        <f>+E11/E4</f>
        <v>0.56295990484539193</v>
      </c>
      <c r="F22" s="7">
        <f>+F11/F4</f>
        <v>0.56654135674039419</v>
      </c>
      <c r="G22" s="7">
        <f>+G11/G4</f>
        <v>0.59681301036958645</v>
      </c>
      <c r="H22" s="7">
        <f>+H11/H4</f>
        <v>0.60633134690950863</v>
      </c>
      <c r="I22" s="7">
        <f>+I11/I4</f>
        <v>0.58836739510732228</v>
      </c>
      <c r="J22" s="7">
        <f>+J11/J4</f>
        <v>0.58209814629072398</v>
      </c>
      <c r="K22" s="7">
        <f>+K11/K4</f>
        <v>0.58209814629072398</v>
      </c>
      <c r="L22" s="7">
        <f>+L11/L4</f>
        <v>0.60742453196212876</v>
      </c>
      <c r="M22" s="7">
        <f>+M11/M4</f>
        <v>0.61602010747650837</v>
      </c>
      <c r="N22" s="7">
        <f>+N11/N4</f>
        <v>0.59806609419422518</v>
      </c>
      <c r="O22" s="7">
        <f>+O11/O4</f>
        <v>0.56189215621392274</v>
      </c>
      <c r="S22" s="7">
        <f>+S11/S4</f>
        <v>0.57851360186029765</v>
      </c>
      <c r="T22" s="7">
        <f>+T11/T4</f>
        <v>0.58952823047961445</v>
      </c>
      <c r="U22" s="7">
        <f>+U11/U4</f>
        <v>0.60106567230280117</v>
      </c>
    </row>
    <row r="23" spans="1:21" s="7" customFormat="1" x14ac:dyDescent="0.2">
      <c r="A23" s="7" t="s">
        <v>47</v>
      </c>
      <c r="B23" s="7">
        <f>+B17/B4</f>
        <v>0.45781661834819815</v>
      </c>
      <c r="C23" s="7">
        <f>+C17/C4</f>
        <v>0.40716006262796584</v>
      </c>
      <c r="D23" s="7">
        <f>+D17/D4</f>
        <v>0.36896222966975389</v>
      </c>
      <c r="E23" s="7">
        <f>+E17/E4</f>
        <v>0.40523823207394122</v>
      </c>
      <c r="F23" s="7">
        <f>+F17/F4</f>
        <v>0.45839680682924216</v>
      </c>
      <c r="G23" s="7">
        <f>+G17/G4</f>
        <v>0.43408553005947753</v>
      </c>
      <c r="H23" s="7">
        <f>+H17/H4</f>
        <v>0.44055800613228835</v>
      </c>
      <c r="I23" s="7">
        <f>+I17/I4</f>
        <v>0.42561540277122145</v>
      </c>
      <c r="J23" s="7">
        <f>+J17/J4</f>
        <v>0.45397978447125886</v>
      </c>
      <c r="K23" s="7">
        <f>+K17/K4</f>
        <v>0.45397978447125886</v>
      </c>
      <c r="L23" s="7">
        <f>+L17/L4</f>
        <v>0.4478384691792896</v>
      </c>
      <c r="M23" s="7">
        <f>+M17/M4</f>
        <v>0.46628528121847196</v>
      </c>
      <c r="N23" s="7">
        <f>+N17/N4</f>
        <v>0.43809936444546199</v>
      </c>
      <c r="O23" s="7">
        <f>+O17/O4</f>
        <v>0.43919760575911992</v>
      </c>
      <c r="S23" s="7">
        <f>+S17/S4</f>
        <v>0.40883680507980258</v>
      </c>
      <c r="T23" s="7">
        <f>+T17/T4</f>
        <v>0.43962726996999912</v>
      </c>
      <c r="U23" s="7">
        <f>+U17/U4</f>
        <v>0.45118113661167608</v>
      </c>
    </row>
    <row r="24" spans="1:21" s="7" customFormat="1" x14ac:dyDescent="0.2">
      <c r="A24" s="7" t="s">
        <v>46</v>
      </c>
      <c r="B24" s="7">
        <f>+B16/B15</f>
        <v>8.0629116139674856E-2</v>
      </c>
      <c r="C24" s="7">
        <f>+C16/C15</f>
        <v>0.12986088172587307</v>
      </c>
      <c r="D24" s="7">
        <f>+D16/D15</f>
        <v>0.13889440522828614</v>
      </c>
      <c r="E24" s="7">
        <f>+E16/E15</f>
        <v>0.18891578545037588</v>
      </c>
      <c r="F24" s="7">
        <f>+F16/F15</f>
        <v>7.4026775181549584E-2</v>
      </c>
      <c r="G24" s="7">
        <f>+G16/G15</f>
        <v>0.17110417474115494</v>
      </c>
      <c r="H24" s="7">
        <f>+H16/H15</f>
        <v>0.17560395986729238</v>
      </c>
      <c r="I24" s="7">
        <f>+I16/I15</f>
        <v>0.17129157176938103</v>
      </c>
      <c r="J24" s="7">
        <f>+J16/J15</f>
        <v>0.12281932404347159</v>
      </c>
      <c r="K24" s="7">
        <f>+K16/K15</f>
        <v>0.12281932404347159</v>
      </c>
      <c r="L24" s="7">
        <f>+L16/L15</f>
        <v>0.17823054494536364</v>
      </c>
      <c r="M24" s="7">
        <f>+M16/M15</f>
        <v>0.16588107427852306</v>
      </c>
      <c r="N24" s="7">
        <f>+N16/N15</f>
        <v>0.17581713600305321</v>
      </c>
      <c r="O24" s="7">
        <f>+O16/O15</f>
        <v>0.1179610016008128</v>
      </c>
      <c r="S24" s="7">
        <f>+S16/S15</f>
        <v>0.13657403819025676</v>
      </c>
      <c r="T24" s="7">
        <f>+T16/T15</f>
        <v>0.14913587642761786</v>
      </c>
      <c r="U24" s="7">
        <f>+U16/U15</f>
        <v>0.16193452665134009</v>
      </c>
    </row>
    <row r="26" spans="1:21" s="10" customFormat="1" x14ac:dyDescent="0.2">
      <c r="A26" s="10" t="s">
        <v>48</v>
      </c>
      <c r="B26" s="10" t="e">
        <f>+B4/#REF!-1</f>
        <v>#REF!</v>
      </c>
      <c r="C26" s="10" t="e">
        <f>+C4/#REF!-1</f>
        <v>#REF!</v>
      </c>
      <c r="D26" s="10" t="e">
        <f>+D4/#REF!-1</f>
        <v>#REF!</v>
      </c>
      <c r="E26" s="10" t="e">
        <f>+E4/#REF!-1</f>
        <v>#REF!</v>
      </c>
      <c r="F26" s="10" t="e">
        <f>+F4/#REF!-1</f>
        <v>#REF!</v>
      </c>
      <c r="G26" s="10" t="e">
        <f>+G4/#REF!-1</f>
        <v>#REF!</v>
      </c>
      <c r="H26" s="10" t="e">
        <f>+H4/#REF!-1</f>
        <v>#REF!</v>
      </c>
      <c r="I26" s="10" t="e">
        <f>+I4/#REF!-1</f>
        <v>#REF!</v>
      </c>
      <c r="J26" s="10">
        <f>+J4/F4-1</f>
        <v>5.7636017823178953E-2</v>
      </c>
      <c r="K26" s="10">
        <f>+K4/F4-1</f>
        <v>5.7636017823178953E-2</v>
      </c>
      <c r="L26" s="10">
        <f>+L4/G4-1</f>
        <v>0.12568003972410602</v>
      </c>
      <c r="M26" s="10">
        <f>+M4/H4-1</f>
        <v>0.11558239794234781</v>
      </c>
      <c r="N26" s="10">
        <f>+N4/I4-1</f>
        <v>0.19766820314886302</v>
      </c>
      <c r="O26" s="10">
        <f>+O4/J4-1</f>
        <v>0.14816672238939055</v>
      </c>
      <c r="S26" s="10" t="e">
        <f>+S4/R4-1</f>
        <v>#DIV/0!</v>
      </c>
      <c r="T26" s="10">
        <f>+T4/S4-1</f>
        <v>0.10034234643345075</v>
      </c>
      <c r="U26" s="10">
        <f>+U4/T4-1</f>
        <v>0.12466523584918243</v>
      </c>
    </row>
    <row r="27" spans="1:21" x14ac:dyDescent="0.2">
      <c r="N27" s="10"/>
    </row>
    <row r="28" spans="1:21" x14ac:dyDescent="0.2">
      <c r="A28" s="2" t="s">
        <v>60</v>
      </c>
      <c r="E28" s="2">
        <f>+E29-E45</f>
        <v>-2739.9729999999995</v>
      </c>
      <c r="F28" s="2">
        <f>+F29-F45</f>
        <v>-3483.15</v>
      </c>
      <c r="G28" s="2">
        <f>+G29-G45</f>
        <v>-3669.5699999999997</v>
      </c>
      <c r="H28" s="2">
        <f>+H29-H45</f>
        <v>-3645.8900000000003</v>
      </c>
      <c r="I28" s="2">
        <f>+I29-I45</f>
        <v>-3518.3820000000001</v>
      </c>
      <c r="J28" s="2">
        <f>+J29-J45</f>
        <v>-3430.2830000000004</v>
      </c>
      <c r="K28" s="2">
        <f>+K29-K45</f>
        <v>-3717.5069999999996</v>
      </c>
      <c r="L28" s="2">
        <f>+L29-L45</f>
        <v>-3580.23</v>
      </c>
      <c r="M28" s="2">
        <f>+M29-M45</f>
        <v>-3580.23</v>
      </c>
      <c r="N28" s="2">
        <f>+N29-N45</f>
        <v>-4046.0349999999999</v>
      </c>
      <c r="O28" s="2">
        <f>+O29-O45</f>
        <v>-3988.3709999999996</v>
      </c>
    </row>
    <row r="29" spans="1:21" x14ac:dyDescent="0.2">
      <c r="A29" s="2" t="s">
        <v>6</v>
      </c>
      <c r="E29" s="2">
        <v>1421.4490000000001</v>
      </c>
      <c r="F29" s="2">
        <v>679.31500000000005</v>
      </c>
      <c r="G29" s="2">
        <v>842.3</v>
      </c>
      <c r="H29" s="2">
        <v>867.11199999999997</v>
      </c>
      <c r="I29" s="2">
        <v>993.56399999999996</v>
      </c>
      <c r="J29" s="2">
        <v>1080.6079999999999</v>
      </c>
      <c r="K29" s="2">
        <v>792.32899999999995</v>
      </c>
      <c r="L29" s="2">
        <v>928.55200000000002</v>
      </c>
      <c r="M29" s="2">
        <v>928.55200000000002</v>
      </c>
      <c r="N29" s="2">
        <v>461.69299999999998</v>
      </c>
      <c r="O29" s="2">
        <v>519.31500000000005</v>
      </c>
    </row>
    <row r="30" spans="1:21" x14ac:dyDescent="0.2">
      <c r="A30" s="2" t="s">
        <v>61</v>
      </c>
      <c r="E30" s="2">
        <v>664.51099999999997</v>
      </c>
      <c r="F30" s="2">
        <v>592.32600000000002</v>
      </c>
      <c r="G30" s="2">
        <v>586.81500000000005</v>
      </c>
      <c r="H30" s="2">
        <v>525.36</v>
      </c>
      <c r="I30" s="2">
        <v>663.23599999999999</v>
      </c>
      <c r="J30" s="2">
        <v>641.58399999999995</v>
      </c>
      <c r="K30" s="2">
        <v>612.88499999999999</v>
      </c>
      <c r="L30" s="2">
        <v>603.26599999999996</v>
      </c>
      <c r="M30" s="2">
        <v>603.26599999999996</v>
      </c>
      <c r="N30" s="2">
        <v>839.55499999999995</v>
      </c>
      <c r="O30" s="2">
        <v>745.61099999999999</v>
      </c>
    </row>
    <row r="31" spans="1:21" x14ac:dyDescent="0.2">
      <c r="A31" s="2" t="s">
        <v>62</v>
      </c>
      <c r="E31" s="2">
        <v>5.9509999999999996</v>
      </c>
      <c r="F31" s="2">
        <v>13.05</v>
      </c>
      <c r="G31" s="2">
        <v>15.9</v>
      </c>
      <c r="H31" s="2">
        <v>82.677999999999997</v>
      </c>
      <c r="I31" s="2">
        <v>36.654000000000003</v>
      </c>
      <c r="J31" s="2">
        <v>33.487000000000002</v>
      </c>
      <c r="K31" s="2">
        <v>69.736999999999995</v>
      </c>
      <c r="L31" s="2">
        <v>54.543999999999997</v>
      </c>
      <c r="M31" s="2">
        <v>54.543999999999997</v>
      </c>
      <c r="N31" s="2">
        <v>59.002000000000002</v>
      </c>
      <c r="O31" s="2">
        <v>44.027000000000001</v>
      </c>
    </row>
    <row r="32" spans="1:21" x14ac:dyDescent="0.2">
      <c r="A32" s="2" t="s">
        <v>74</v>
      </c>
      <c r="E32" s="2">
        <v>51.499000000000002</v>
      </c>
      <c r="F32" s="2">
        <v>47.73</v>
      </c>
      <c r="G32" s="2">
        <v>44.066000000000003</v>
      </c>
      <c r="H32" s="2">
        <v>51.758000000000003</v>
      </c>
      <c r="I32" s="2">
        <v>54.52</v>
      </c>
      <c r="J32" s="2">
        <v>54.887999999999998</v>
      </c>
      <c r="K32" s="2">
        <v>49.234000000000002</v>
      </c>
      <c r="L32" s="2">
        <v>52.966999999999999</v>
      </c>
      <c r="M32" s="2">
        <v>52.966999999999999</v>
      </c>
      <c r="N32" s="2">
        <v>57.902999999999999</v>
      </c>
      <c r="O32" s="2">
        <v>55.963999999999999</v>
      </c>
    </row>
    <row r="33" spans="1:15" x14ac:dyDescent="0.2">
      <c r="A33" s="2" t="s">
        <v>63</v>
      </c>
      <c r="E33" s="2">
        <v>66.715000000000003</v>
      </c>
      <c r="F33" s="2">
        <v>64.682000000000002</v>
      </c>
      <c r="G33" s="2">
        <v>59.39</v>
      </c>
      <c r="H33" s="2">
        <v>54.341000000000001</v>
      </c>
      <c r="I33" s="2">
        <v>53.853000000000002</v>
      </c>
      <c r="J33" s="2">
        <v>58.838999999999999</v>
      </c>
      <c r="K33" s="2">
        <v>60.966000000000001</v>
      </c>
      <c r="L33" s="2">
        <v>58.036000000000001</v>
      </c>
      <c r="M33" s="2">
        <v>58.036000000000001</v>
      </c>
      <c r="N33" s="2">
        <v>55.92</v>
      </c>
      <c r="O33" s="2">
        <v>55.802</v>
      </c>
    </row>
    <row r="34" spans="1:15" x14ac:dyDescent="0.2">
      <c r="A34" s="2" t="s">
        <v>64</v>
      </c>
      <c r="E34" s="2">
        <v>144.584</v>
      </c>
      <c r="F34" s="2">
        <v>134.36799999999999</v>
      </c>
      <c r="G34" s="2">
        <v>128.12200000000001</v>
      </c>
      <c r="H34" s="2">
        <v>131.77199999999999</v>
      </c>
      <c r="I34" s="2">
        <v>126.584</v>
      </c>
      <c r="J34" s="2">
        <v>125.596</v>
      </c>
      <c r="K34" s="2">
        <v>122.41500000000001</v>
      </c>
      <c r="L34" s="2">
        <v>117.533</v>
      </c>
      <c r="M34" s="2">
        <v>117.533</v>
      </c>
      <c r="N34" s="2">
        <v>115.24299999999999</v>
      </c>
      <c r="O34" s="2">
        <v>132.27000000000001</v>
      </c>
    </row>
    <row r="35" spans="1:15" x14ac:dyDescent="0.2">
      <c r="A35" s="2" t="s">
        <v>65</v>
      </c>
      <c r="E35" s="2">
        <f>2236.386+593.341</f>
        <v>2829.7269999999999</v>
      </c>
      <c r="F35" s="2">
        <f>2235.199+585.058</f>
        <v>2820.2570000000001</v>
      </c>
      <c r="G35" s="2">
        <f>2231.154+576.362</f>
        <v>2807.5160000000001</v>
      </c>
      <c r="H35" s="2">
        <f>2226.141+565.582</f>
        <v>2791.723</v>
      </c>
      <c r="I35" s="2">
        <f>2229.67+558.517</f>
        <v>2788.1869999999999</v>
      </c>
      <c r="J35" s="2">
        <f>2231.037+551.012</f>
        <v>2782.049</v>
      </c>
      <c r="K35" s="2">
        <f>2232.459+546.425</f>
        <v>2778.884</v>
      </c>
      <c r="L35" s="2">
        <f>2230.389+536.129</f>
        <v>2766.518</v>
      </c>
      <c r="M35" s="2">
        <f>2230.389+536.129</f>
        <v>2766.518</v>
      </c>
      <c r="N35" s="2">
        <f>2887.692+956.234</f>
        <v>3843.9259999999999</v>
      </c>
      <c r="O35" s="2">
        <f>2890.519+948.479</f>
        <v>3838.9979999999996</v>
      </c>
    </row>
    <row r="36" spans="1:15" x14ac:dyDescent="0.2">
      <c r="A36" s="2" t="s">
        <v>66</v>
      </c>
      <c r="E36" s="2">
        <v>218.12799999999999</v>
      </c>
      <c r="F36" s="2">
        <v>218.12799999999999</v>
      </c>
      <c r="G36" s="2">
        <v>216.554</v>
      </c>
      <c r="H36" s="2">
        <v>215.37</v>
      </c>
      <c r="I36" s="2">
        <v>214.38900000000001</v>
      </c>
      <c r="J36" s="2">
        <v>211.92400000000001</v>
      </c>
      <c r="K36" s="2">
        <v>210.49600000000001</v>
      </c>
      <c r="L36" s="2">
        <v>210.65700000000001</v>
      </c>
      <c r="M36" s="2">
        <v>210.65700000000001</v>
      </c>
      <c r="N36" s="2">
        <v>0</v>
      </c>
      <c r="O36" s="2">
        <v>0</v>
      </c>
    </row>
    <row r="37" spans="1:15" x14ac:dyDescent="0.2">
      <c r="A37" s="2" t="s">
        <v>67</v>
      </c>
      <c r="E37" s="2">
        <v>40.119</v>
      </c>
      <c r="F37" s="2">
        <v>53.612000000000002</v>
      </c>
      <c r="G37" s="2">
        <v>64.215999999999994</v>
      </c>
      <c r="H37" s="2">
        <v>27.939</v>
      </c>
      <c r="I37" s="2">
        <v>29.207000000000001</v>
      </c>
      <c r="J37" s="2">
        <v>28.856999999999999</v>
      </c>
      <c r="K37" s="2">
        <v>28.428999999999998</v>
      </c>
      <c r="L37" s="2">
        <v>34.79</v>
      </c>
      <c r="M37" s="2">
        <v>34.79</v>
      </c>
      <c r="N37" s="2">
        <v>41.073999999999998</v>
      </c>
      <c r="O37" s="2">
        <v>38.886000000000003</v>
      </c>
    </row>
    <row r="38" spans="1:15" x14ac:dyDescent="0.2">
      <c r="A38" s="2" t="s">
        <v>68</v>
      </c>
      <c r="E38" s="2">
        <v>63.384999999999998</v>
      </c>
      <c r="F38" s="2">
        <v>68.361000000000004</v>
      </c>
      <c r="G38" s="2">
        <v>68.472999999999999</v>
      </c>
      <c r="H38" s="2">
        <v>29.474</v>
      </c>
      <c r="I38" s="2">
        <v>37.341000000000001</v>
      </c>
      <c r="J38" s="2">
        <v>40.868000000000002</v>
      </c>
      <c r="K38" s="2">
        <v>37.453000000000003</v>
      </c>
      <c r="L38" s="2">
        <v>38.631</v>
      </c>
      <c r="M38" s="2">
        <v>38.631</v>
      </c>
      <c r="N38" s="2">
        <v>43.902999999999999</v>
      </c>
      <c r="O38" s="2">
        <v>47.716000000000001</v>
      </c>
    </row>
    <row r="39" spans="1:15" s="5" customFormat="1" x14ac:dyDescent="0.2">
      <c r="A39" s="5" t="s">
        <v>69</v>
      </c>
      <c r="E39" s="5">
        <f>SUM(E29:E38)</f>
        <v>5506.0679999999993</v>
      </c>
      <c r="F39" s="5">
        <f>SUM(F29:F38)</f>
        <v>4691.8289999999997</v>
      </c>
      <c r="G39" s="5">
        <f>SUM(G29:G38)</f>
        <v>4833.3520000000008</v>
      </c>
      <c r="H39" s="5">
        <f>SUM(H29:H38)</f>
        <v>4777.527</v>
      </c>
      <c r="I39" s="5">
        <f>SUM(I29:I38)</f>
        <v>4997.5350000000008</v>
      </c>
      <c r="J39" s="5">
        <f>SUM(J29:J38)</f>
        <v>5058.7</v>
      </c>
      <c r="K39" s="5">
        <f>SUM(K29:K38)</f>
        <v>4762.8280000000004</v>
      </c>
      <c r="L39" s="5">
        <f>SUM(L29:L38)</f>
        <v>4865.4940000000006</v>
      </c>
      <c r="M39" s="5">
        <f>SUM(M29:M38)</f>
        <v>4865.4940000000006</v>
      </c>
      <c r="N39" s="5">
        <f>SUM(N29:N38)</f>
        <v>5518.2190000000001</v>
      </c>
      <c r="O39" s="5">
        <f>SUM(O29:O38)</f>
        <v>5478.5889999999999</v>
      </c>
    </row>
    <row r="40" spans="1:15" x14ac:dyDescent="0.2">
      <c r="A40" s="2" t="s">
        <v>70</v>
      </c>
      <c r="E40" s="2">
        <v>13.448</v>
      </c>
      <c r="F40" s="2">
        <v>12.956</v>
      </c>
      <c r="G40" s="2">
        <v>9.2949999999999999</v>
      </c>
      <c r="H40" s="2">
        <v>5.3029999999999999</v>
      </c>
      <c r="I40" s="2">
        <v>15.039</v>
      </c>
      <c r="J40" s="2">
        <v>10.746</v>
      </c>
      <c r="K40" s="2">
        <v>7.2770000000000001</v>
      </c>
      <c r="L40" s="2">
        <v>10.224</v>
      </c>
      <c r="M40" s="2">
        <v>10.224</v>
      </c>
      <c r="N40" s="2">
        <v>9.8119999999999994</v>
      </c>
      <c r="O40" s="2">
        <v>12.048</v>
      </c>
    </row>
    <row r="41" spans="1:15" x14ac:dyDescent="0.2">
      <c r="A41" s="2" t="s">
        <v>41</v>
      </c>
      <c r="E41" s="2">
        <v>59.634999999999998</v>
      </c>
      <c r="F41" s="2">
        <v>83.588999999999999</v>
      </c>
      <c r="G41" s="2">
        <v>38.615000000000002</v>
      </c>
      <c r="H41" s="2">
        <v>3.77</v>
      </c>
      <c r="I41" s="2">
        <v>8.0579999999999998</v>
      </c>
      <c r="J41" s="2">
        <v>27.481000000000002</v>
      </c>
      <c r="K41" s="2">
        <v>12.057</v>
      </c>
      <c r="L41" s="2">
        <v>19.536000000000001</v>
      </c>
      <c r="M41" s="2">
        <v>19.536000000000001</v>
      </c>
      <c r="N41" s="2">
        <v>24.709</v>
      </c>
      <c r="O41" s="2">
        <v>44.732999999999997</v>
      </c>
    </row>
    <row r="42" spans="1:15" x14ac:dyDescent="0.2">
      <c r="A42" s="2" t="s">
        <v>71</v>
      </c>
      <c r="E42" s="2">
        <f>207.64</f>
        <v>207.64</v>
      </c>
      <c r="F42" s="2">
        <f>70.749</f>
        <v>70.748999999999995</v>
      </c>
      <c r="G42" s="2">
        <v>106.797</v>
      </c>
      <c r="H42" s="2">
        <v>142.28200000000001</v>
      </c>
      <c r="I42" s="2">
        <v>182.37</v>
      </c>
      <c r="J42" s="2">
        <v>75.552999999999997</v>
      </c>
      <c r="K42" s="2">
        <v>119.45099999999999</v>
      </c>
      <c r="L42" s="2">
        <v>157.227</v>
      </c>
      <c r="M42" s="2">
        <v>157.227</v>
      </c>
      <c r="N42" s="2">
        <v>219.45599999999999</v>
      </c>
      <c r="O42" s="2">
        <v>84.581999999999994</v>
      </c>
    </row>
    <row r="43" spans="1:15" x14ac:dyDescent="0.2">
      <c r="A43" s="2" t="s">
        <v>39</v>
      </c>
      <c r="E43" s="2">
        <v>145.30199999999999</v>
      </c>
      <c r="F43" s="2">
        <v>160.929</v>
      </c>
      <c r="G43" s="2">
        <v>151.02099999999999</v>
      </c>
      <c r="H43" s="2">
        <v>171.476</v>
      </c>
      <c r="I43" s="2">
        <v>153.46100000000001</v>
      </c>
      <c r="J43" s="2">
        <v>165.84</v>
      </c>
      <c r="K43" s="2">
        <v>161</v>
      </c>
      <c r="L43" s="2">
        <v>171.458</v>
      </c>
      <c r="M43" s="2">
        <v>171.458</v>
      </c>
      <c r="N43" s="2">
        <v>168.28200000000001</v>
      </c>
      <c r="O43" s="2">
        <v>173.62799999999999</v>
      </c>
    </row>
    <row r="44" spans="1:15" x14ac:dyDescent="0.2">
      <c r="A44" s="2" t="s">
        <v>72</v>
      </c>
      <c r="E44" s="2">
        <v>824.91200000000003</v>
      </c>
      <c r="F44" s="2">
        <v>832.20299999999997</v>
      </c>
      <c r="G44" s="2">
        <v>808.02</v>
      </c>
      <c r="H44" s="2">
        <v>735.71</v>
      </c>
      <c r="I44" s="2">
        <v>882.88599999999997</v>
      </c>
      <c r="J44" s="2">
        <v>920.255</v>
      </c>
      <c r="K44" s="2">
        <v>909.62300000000005</v>
      </c>
      <c r="L44" s="2">
        <v>837.47900000000004</v>
      </c>
      <c r="M44" s="2">
        <v>837.47900000000004</v>
      </c>
      <c r="N44" s="2">
        <v>1083.864</v>
      </c>
      <c r="O44" s="2">
        <v>1053.961</v>
      </c>
    </row>
    <row r="45" spans="1:15" x14ac:dyDescent="0.2">
      <c r="A45" s="2" t="s">
        <v>7</v>
      </c>
      <c r="E45" s="2">
        <v>4161.4219999999996</v>
      </c>
      <c r="F45" s="2">
        <v>4162.4650000000001</v>
      </c>
      <c r="G45" s="2">
        <f>6.532+4505.338</f>
        <v>4511.87</v>
      </c>
      <c r="H45" s="2">
        <f>8.711+4504.291</f>
        <v>4513.0020000000004</v>
      </c>
      <c r="I45" s="2">
        <f>8.713+4503.233</f>
        <v>4511.9459999999999</v>
      </c>
      <c r="J45" s="2">
        <f>8.715+4502.176</f>
        <v>4510.8910000000005</v>
      </c>
      <c r="K45" s="2">
        <f>8.717+4501.119</f>
        <v>4509.8359999999993</v>
      </c>
      <c r="L45" s="2">
        <f>8.719+4500.063</f>
        <v>4508.7820000000002</v>
      </c>
      <c r="M45" s="2">
        <f>8.719+4500.063</f>
        <v>4508.7820000000002</v>
      </c>
      <c r="N45" s="2">
        <f>10.902+4496.826</f>
        <v>4507.7280000000001</v>
      </c>
      <c r="O45" s="2">
        <v>4507.6859999999997</v>
      </c>
    </row>
    <row r="46" spans="1:15" x14ac:dyDescent="0.2">
      <c r="A46" s="2" t="s">
        <v>64</v>
      </c>
      <c r="E46" s="2">
        <v>150.029</v>
      </c>
      <c r="F46" s="2">
        <v>139.89500000000001</v>
      </c>
      <c r="G46" s="2">
        <v>132.494</v>
      </c>
      <c r="H46" s="2">
        <v>137.26499999999999</v>
      </c>
      <c r="I46" s="2">
        <v>131.57499999999999</v>
      </c>
      <c r="J46" s="2">
        <v>130.571</v>
      </c>
      <c r="K46" s="2">
        <v>127.22499999999999</v>
      </c>
      <c r="L46" s="2">
        <v>121.941</v>
      </c>
      <c r="M46" s="2">
        <v>121.941</v>
      </c>
      <c r="N46" s="2">
        <v>120.134</v>
      </c>
      <c r="O46" s="2">
        <v>135.04300000000001</v>
      </c>
    </row>
    <row r="47" spans="1:15" x14ac:dyDescent="0.2">
      <c r="A47" s="2" t="s">
        <v>67</v>
      </c>
      <c r="E47" s="2">
        <v>3.65</v>
      </c>
      <c r="F47" s="2">
        <v>3.347</v>
      </c>
      <c r="G47" s="2">
        <v>3.8410000000000002</v>
      </c>
      <c r="H47" s="2">
        <v>47.142000000000003</v>
      </c>
      <c r="I47" s="2">
        <v>29.097999999999999</v>
      </c>
      <c r="J47" s="2">
        <v>27.433</v>
      </c>
      <c r="K47" s="2">
        <v>17.661000000000001</v>
      </c>
      <c r="L47" s="2">
        <v>4.22</v>
      </c>
      <c r="M47" s="2">
        <v>4.22</v>
      </c>
      <c r="N47" s="2">
        <v>27.027999999999999</v>
      </c>
      <c r="O47" s="2">
        <v>17.736999999999998</v>
      </c>
    </row>
    <row r="48" spans="1:15" x14ac:dyDescent="0.2">
      <c r="A48" s="2" t="s">
        <v>73</v>
      </c>
      <c r="E48" s="2">
        <v>104.13200000000001</v>
      </c>
      <c r="F48" s="2">
        <v>104.88500000000001</v>
      </c>
      <c r="G48" s="2">
        <v>97.844999999999999</v>
      </c>
      <c r="H48" s="2">
        <v>98.968000000000004</v>
      </c>
      <c r="I48" s="2">
        <v>91.027000000000001</v>
      </c>
      <c r="J48" s="2">
        <v>91.293999999999997</v>
      </c>
      <c r="K48" s="2">
        <v>92.366</v>
      </c>
      <c r="L48" s="2">
        <v>83.722999999999999</v>
      </c>
      <c r="M48" s="2">
        <v>83.722999999999999</v>
      </c>
      <c r="N48" s="2">
        <v>96.97</v>
      </c>
      <c r="O48" s="2">
        <v>99.688000000000002</v>
      </c>
    </row>
    <row r="49" spans="1:15" s="5" customFormat="1" x14ac:dyDescent="0.2">
      <c r="A49" s="5" t="s">
        <v>75</v>
      </c>
      <c r="E49" s="5">
        <f>SUM(E40:E48)</f>
        <v>5670.1699999999983</v>
      </c>
      <c r="F49" s="5">
        <f>SUM(F40:F48)</f>
        <v>5571.018</v>
      </c>
      <c r="G49" s="5">
        <f>SUM(G40:G48)</f>
        <v>5859.7980000000007</v>
      </c>
      <c r="H49" s="5">
        <f>SUM(H40:H48)</f>
        <v>5854.9180000000006</v>
      </c>
      <c r="I49" s="5">
        <f>SUM(I40:I48)</f>
        <v>6005.46</v>
      </c>
      <c r="J49" s="5">
        <f>SUM(J40:J48)</f>
        <v>5960.0640000000003</v>
      </c>
      <c r="K49" s="5">
        <f>SUM(K40:K48)</f>
        <v>5956.4959999999992</v>
      </c>
      <c r="L49" s="5">
        <f>SUM(L40:L48)</f>
        <v>5914.59</v>
      </c>
      <c r="M49" s="5">
        <f>SUM(M40:M48)</f>
        <v>5914.59</v>
      </c>
      <c r="N49" s="5">
        <f>SUM(N40:N48)</f>
        <v>6257.9830000000011</v>
      </c>
      <c r="O49" s="5">
        <f>SUM(O40:O48)</f>
        <v>6129.1059999999998</v>
      </c>
    </row>
    <row r="50" spans="1:15" x14ac:dyDescent="0.2">
      <c r="A50" s="2" t="s">
        <v>76</v>
      </c>
      <c r="E50" s="2">
        <f>+E39-E49</f>
        <v>-164.10199999999895</v>
      </c>
      <c r="F50" s="2">
        <f>+F39-F49</f>
        <v>-879.18900000000031</v>
      </c>
      <c r="G50" s="2">
        <f>+G39-G49</f>
        <v>-1026.4459999999999</v>
      </c>
      <c r="H50" s="2">
        <f>+H39-H49</f>
        <v>-1077.3910000000005</v>
      </c>
      <c r="I50" s="2">
        <f>+I39-I49</f>
        <v>-1007.9249999999993</v>
      </c>
      <c r="J50" s="2">
        <f>+J39-J49</f>
        <v>-901.36400000000049</v>
      </c>
      <c r="K50" s="2">
        <f>+K39-K49</f>
        <v>-1193.6679999999988</v>
      </c>
      <c r="L50" s="2">
        <f>+L39-L49</f>
        <v>-1049.0959999999995</v>
      </c>
      <c r="M50" s="2">
        <f>+M39-M49</f>
        <v>-1049.0959999999995</v>
      </c>
      <c r="N50" s="2">
        <f>+N39-N49</f>
        <v>-739.76400000000103</v>
      </c>
      <c r="O50" s="2">
        <f>+O39-O49</f>
        <v>-650.51699999999983</v>
      </c>
    </row>
    <row r="51" spans="1:15" x14ac:dyDescent="0.2">
      <c r="A51" s="2" t="s">
        <v>77</v>
      </c>
      <c r="E51" s="2">
        <f>+E49+E50</f>
        <v>5506.0679999999993</v>
      </c>
      <c r="F51" s="2">
        <f>+F49+F50</f>
        <v>4691.8289999999997</v>
      </c>
      <c r="G51" s="2">
        <f>+G49+G50</f>
        <v>4833.3520000000008</v>
      </c>
      <c r="H51" s="2">
        <f>+H49+H50</f>
        <v>4777.527</v>
      </c>
      <c r="I51" s="2">
        <f>+I49+I50</f>
        <v>4997.5350000000008</v>
      </c>
      <c r="J51" s="2">
        <f>+J49+J50</f>
        <v>5058.7</v>
      </c>
      <c r="K51" s="2">
        <f>+K49+K50</f>
        <v>4762.8280000000004</v>
      </c>
      <c r="L51" s="2">
        <f>+L49+L50</f>
        <v>4865.4940000000006</v>
      </c>
      <c r="M51" s="2">
        <f>+M49+M50</f>
        <v>4865.4940000000006</v>
      </c>
      <c r="N51" s="2">
        <f>+N49+N50</f>
        <v>5518.2190000000001</v>
      </c>
      <c r="O51" s="2">
        <f>+O49+O50</f>
        <v>5478.5889999999999</v>
      </c>
    </row>
    <row r="53" spans="1:15" x14ac:dyDescent="0.2">
      <c r="A53" s="2" t="s">
        <v>82</v>
      </c>
      <c r="F53" s="2">
        <f>+F17</f>
        <v>256.67700000000002</v>
      </c>
      <c r="K53" s="2">
        <f>+K17</f>
        <v>268.85499999999996</v>
      </c>
      <c r="O53" s="2">
        <f>+O17</f>
        <v>298.63900000000001</v>
      </c>
    </row>
    <row r="54" spans="1:15" x14ac:dyDescent="0.2">
      <c r="A54" s="2" t="s">
        <v>83</v>
      </c>
      <c r="F54" s="2">
        <v>228.423</v>
      </c>
      <c r="K54" s="2">
        <v>238.72800000000001</v>
      </c>
      <c r="O54" s="2">
        <v>255.95400000000001</v>
      </c>
    </row>
    <row r="55" spans="1:15" x14ac:dyDescent="0.2">
      <c r="A55" s="2" t="s">
        <v>85</v>
      </c>
      <c r="F55" s="2">
        <v>21.72</v>
      </c>
      <c r="K55" s="2">
        <v>24.667000000000002</v>
      </c>
      <c r="O55" s="2">
        <v>38.603999999999999</v>
      </c>
    </row>
    <row r="56" spans="1:15" x14ac:dyDescent="0.2">
      <c r="A56" s="2" t="s">
        <v>86</v>
      </c>
      <c r="F56" s="2">
        <v>22.856999999999999</v>
      </c>
      <c r="K56" s="2">
        <v>21.088000000000001</v>
      </c>
      <c r="O56" s="2">
        <v>34.335999999999999</v>
      </c>
    </row>
    <row r="57" spans="1:15" x14ac:dyDescent="0.2">
      <c r="A57" s="2" t="s">
        <v>84</v>
      </c>
      <c r="F57" s="2">
        <v>6.5339999999999998</v>
      </c>
      <c r="K57" s="2">
        <v>5.46</v>
      </c>
      <c r="O57" s="2">
        <v>4.0810000000000004</v>
      </c>
    </row>
    <row r="58" spans="1:15" x14ac:dyDescent="0.2">
      <c r="A58" s="2" t="s">
        <v>64</v>
      </c>
      <c r="F58" s="2">
        <v>6.2919999999999998</v>
      </c>
      <c r="K58" s="2">
        <v>5.782</v>
      </c>
      <c r="O58" s="2">
        <v>5.8129999999999997</v>
      </c>
    </row>
    <row r="59" spans="1:15" x14ac:dyDescent="0.2">
      <c r="A59" s="2" t="s">
        <v>87</v>
      </c>
      <c r="F59" s="2">
        <v>1.403</v>
      </c>
      <c r="K59" s="2">
        <v>1.264</v>
      </c>
      <c r="O59" s="2">
        <v>1.28</v>
      </c>
    </row>
    <row r="60" spans="1:15" x14ac:dyDescent="0.2">
      <c r="A60" s="2" t="s">
        <v>88</v>
      </c>
      <c r="F60" s="2">
        <v>0</v>
      </c>
      <c r="K60" s="2">
        <v>0</v>
      </c>
      <c r="O60" s="2">
        <v>1.51</v>
      </c>
    </row>
    <row r="61" spans="1:15" x14ac:dyDescent="0.2">
      <c r="A61" s="2" t="s">
        <v>67</v>
      </c>
      <c r="F61" s="2">
        <v>-12.961</v>
      </c>
      <c r="K61" s="2">
        <v>-2.254</v>
      </c>
      <c r="O61" s="2">
        <v>-7.625</v>
      </c>
    </row>
    <row r="62" spans="1:15" x14ac:dyDescent="0.2">
      <c r="A62" s="2" t="s">
        <v>39</v>
      </c>
      <c r="F62" s="2">
        <v>0.93300000000000005</v>
      </c>
      <c r="K62" s="2">
        <v>3.9060000000000001</v>
      </c>
      <c r="O62" s="2">
        <v>-3.5329999999999999</v>
      </c>
    </row>
    <row r="63" spans="1:15" x14ac:dyDescent="0.2">
      <c r="A63" s="2" t="s">
        <v>61</v>
      </c>
      <c r="F63" s="2">
        <v>70.417000000000002</v>
      </c>
      <c r="K63" s="2">
        <v>22.489000000000001</v>
      </c>
      <c r="O63" s="2">
        <v>91.108999999999995</v>
      </c>
    </row>
    <row r="64" spans="1:15" x14ac:dyDescent="0.2">
      <c r="A64" s="2" t="s">
        <v>89</v>
      </c>
      <c r="F64" s="2">
        <v>-7.17</v>
      </c>
      <c r="K64" s="2">
        <v>3.3959999999999999</v>
      </c>
      <c r="O64" s="2">
        <v>14.874000000000001</v>
      </c>
    </row>
    <row r="65" spans="1:15" x14ac:dyDescent="0.2">
      <c r="A65" s="2" t="s">
        <v>62</v>
      </c>
      <c r="F65" s="2">
        <v>3.0619999999999998</v>
      </c>
      <c r="K65" s="2">
        <v>-1.194</v>
      </c>
      <c r="O65" s="2">
        <v>1.427</v>
      </c>
    </row>
    <row r="66" spans="1:15" x14ac:dyDescent="0.2">
      <c r="A66" s="2" t="s">
        <v>68</v>
      </c>
      <c r="F66" s="2">
        <v>-5.0049999999999999</v>
      </c>
      <c r="K66" s="2">
        <v>-2.3330000000000002</v>
      </c>
      <c r="O66" s="2">
        <v>7.2999999999999995E-2</v>
      </c>
    </row>
    <row r="67" spans="1:15" x14ac:dyDescent="0.2">
      <c r="A67" s="2" t="s">
        <v>70</v>
      </c>
      <c r="F67" s="2">
        <v>-2.06</v>
      </c>
      <c r="K67" s="2">
        <v>-6.327</v>
      </c>
      <c r="O67" s="2">
        <v>2.0449999999999999</v>
      </c>
    </row>
    <row r="68" spans="1:15" x14ac:dyDescent="0.2">
      <c r="A68" s="2" t="s">
        <v>41</v>
      </c>
      <c r="F68" s="2">
        <v>24.257000000000001</v>
      </c>
      <c r="K68" s="2">
        <v>19.178999999999998</v>
      </c>
      <c r="O68" s="2">
        <v>22.154</v>
      </c>
    </row>
    <row r="69" spans="1:15" x14ac:dyDescent="0.2">
      <c r="A69" s="2" t="s">
        <v>90</v>
      </c>
      <c r="F69" s="2">
        <v>-135.148</v>
      </c>
      <c r="K69" s="2">
        <v>-108.252</v>
      </c>
      <c r="O69" s="2">
        <v>-132.328</v>
      </c>
    </row>
    <row r="70" spans="1:15" x14ac:dyDescent="0.2">
      <c r="A70" s="2" t="s">
        <v>71</v>
      </c>
      <c r="F70" s="2">
        <v>15.161</v>
      </c>
      <c r="K70" s="2">
        <v>8.3049999999999997</v>
      </c>
      <c r="O70" s="2">
        <v>3.0859999999999999</v>
      </c>
    </row>
    <row r="71" spans="1:15" x14ac:dyDescent="0.2">
      <c r="A71" s="2" t="s">
        <v>72</v>
      </c>
      <c r="F71" s="2">
        <v>10.932</v>
      </c>
      <c r="K71" s="2">
        <v>34.427</v>
      </c>
      <c r="O71" s="2">
        <v>-25.949000000000002</v>
      </c>
    </row>
    <row r="72" spans="1:15" x14ac:dyDescent="0.2">
      <c r="A72" s="2" t="s">
        <v>64</v>
      </c>
      <c r="F72" s="2">
        <v>-5.5419999999999998</v>
      </c>
      <c r="K72" s="2">
        <v>-5.0469999999999997</v>
      </c>
      <c r="O72" s="2">
        <v>-5.6660000000000004</v>
      </c>
    </row>
    <row r="73" spans="1:15" x14ac:dyDescent="0.2">
      <c r="A73" s="2" t="s">
        <v>73</v>
      </c>
      <c r="F73" s="2">
        <v>1.6950000000000001</v>
      </c>
      <c r="K73" s="2">
        <v>0.94099999999999995</v>
      </c>
      <c r="O73" s="2">
        <v>-1.1080000000000001</v>
      </c>
    </row>
    <row r="74" spans="1:15" x14ac:dyDescent="0.2">
      <c r="A74" s="2" t="s">
        <v>39</v>
      </c>
      <c r="F74" s="2">
        <v>-1.6160000000000001</v>
      </c>
      <c r="K74" s="2">
        <v>-8.4000000000000005E-2</v>
      </c>
      <c r="O74" s="2">
        <v>0</v>
      </c>
    </row>
    <row r="75" spans="1:15" x14ac:dyDescent="0.2">
      <c r="A75" s="2" t="s">
        <v>92</v>
      </c>
      <c r="F75" s="2">
        <f>+SUM(F63:F74)</f>
        <v>-31.017000000000003</v>
      </c>
      <c r="K75" s="2">
        <f>+SUM(K63:K74)</f>
        <v>-34.499999999999993</v>
      </c>
      <c r="O75" s="2">
        <f>+SUM(O63:O74)</f>
        <v>-30.283000000000019</v>
      </c>
    </row>
    <row r="76" spans="1:15" s="5" customFormat="1" x14ac:dyDescent="0.2">
      <c r="A76" s="5" t="s">
        <v>91</v>
      </c>
      <c r="F76" s="5">
        <f>+SUM(F54:F62)+F75</f>
        <v>244.18399999999997</v>
      </c>
      <c r="K76" s="5">
        <f>+SUM(K54:K62)+K75</f>
        <v>264.14099999999996</v>
      </c>
      <c r="O76" s="5">
        <f>+SUM(O54:O62)+O75</f>
        <v>300.13699999999994</v>
      </c>
    </row>
    <row r="78" spans="1:15" s="5" customFormat="1" x14ac:dyDescent="0.2">
      <c r="A78" s="5" t="s">
        <v>93</v>
      </c>
      <c r="F78" s="5">
        <f>-14.084-1.254</f>
        <v>-15.337999999999999</v>
      </c>
      <c r="K78" s="5">
        <f>-16.351-6.225</f>
        <v>-22.576000000000001</v>
      </c>
      <c r="O78" s="5">
        <f>-19.966-4.271</f>
        <v>-24.237000000000002</v>
      </c>
    </row>
    <row r="79" spans="1:15" x14ac:dyDescent="0.2">
      <c r="A79" s="2" t="s">
        <v>25</v>
      </c>
      <c r="F79" s="2">
        <v>0</v>
      </c>
      <c r="K79" s="2">
        <v>0</v>
      </c>
      <c r="O79" s="2">
        <v>-7.82</v>
      </c>
    </row>
    <row r="80" spans="1:15" x14ac:dyDescent="0.2">
      <c r="A80" s="2" t="s">
        <v>94</v>
      </c>
      <c r="F80" s="2">
        <f>SUM(F78:F79)</f>
        <v>-15.337999999999999</v>
      </c>
      <c r="K80" s="2">
        <f>SUM(K78:K79)</f>
        <v>-22.576000000000001</v>
      </c>
      <c r="O80" s="2">
        <f>+SUM(O78:O79)</f>
        <v>-32.057000000000002</v>
      </c>
    </row>
    <row r="82" spans="1:21" x14ac:dyDescent="0.2">
      <c r="A82" s="2" t="s">
        <v>95</v>
      </c>
      <c r="F82" s="2">
        <v>-877.65700000000004</v>
      </c>
      <c r="K82" s="2">
        <v>-43.96</v>
      </c>
      <c r="O82" s="2">
        <v>-69.991</v>
      </c>
    </row>
    <row r="83" spans="1:21" x14ac:dyDescent="0.2">
      <c r="A83" s="2" t="s">
        <v>96</v>
      </c>
      <c r="F83" s="2">
        <v>-87.769000000000005</v>
      </c>
      <c r="K83" s="2">
        <v>-112.145</v>
      </c>
      <c r="O83" s="2">
        <v>-131.30500000000001</v>
      </c>
    </row>
    <row r="84" spans="1:21" x14ac:dyDescent="0.2">
      <c r="A84" s="2" t="s">
        <v>97</v>
      </c>
      <c r="F84" s="2">
        <v>-5</v>
      </c>
      <c r="K84" s="2">
        <v>-2.1880000000000002</v>
      </c>
      <c r="O84" s="2">
        <v>-339.06299999999999</v>
      </c>
    </row>
    <row r="85" spans="1:21" x14ac:dyDescent="0.2">
      <c r="A85" s="2" t="s">
        <v>98</v>
      </c>
      <c r="F85" s="2">
        <v>5</v>
      </c>
      <c r="K85" s="2">
        <v>0</v>
      </c>
      <c r="O85" s="2">
        <v>336.875</v>
      </c>
    </row>
    <row r="86" spans="1:21" x14ac:dyDescent="0.2">
      <c r="A86" s="2" t="s">
        <v>99</v>
      </c>
      <c r="F86" s="2">
        <f>-0.559-0.132</f>
        <v>-0.69100000000000006</v>
      </c>
      <c r="K86" s="2">
        <v>0</v>
      </c>
      <c r="O86" s="2">
        <v>-3.7389999999999999</v>
      </c>
    </row>
    <row r="87" spans="1:21" x14ac:dyDescent="0.2">
      <c r="A87" s="2" t="s">
        <v>100</v>
      </c>
      <c r="F87" s="2">
        <f>SUM(F82:F86)</f>
        <v>-966.11700000000008</v>
      </c>
      <c r="K87" s="2">
        <f>SUM(K82:K86)</f>
        <v>-158.29299999999998</v>
      </c>
      <c r="O87" s="2">
        <f>SUM(O82:O86)</f>
        <v>-207.22299999999993</v>
      </c>
    </row>
    <row r="89" spans="1:21" x14ac:dyDescent="0.2">
      <c r="A89" s="2" t="s">
        <v>101</v>
      </c>
      <c r="F89" s="2">
        <v>-4.891</v>
      </c>
      <c r="K89" s="2">
        <v>2.9580000000000002</v>
      </c>
      <c r="O89" s="2">
        <v>-2.9590000000000001</v>
      </c>
    </row>
    <row r="90" spans="1:21" x14ac:dyDescent="0.2">
      <c r="A90" s="2" t="s">
        <v>102</v>
      </c>
      <c r="F90" s="2">
        <f>+F76+F80+F87+F89</f>
        <v>-742.16200000000003</v>
      </c>
      <c r="K90" s="2">
        <f>+K76+K80+K87+K89</f>
        <v>86.22999999999999</v>
      </c>
      <c r="O90" s="2">
        <f>+O76+O80+O87+O89</f>
        <v>57.897999999999996</v>
      </c>
    </row>
    <row r="92" spans="1:21" x14ac:dyDescent="0.2">
      <c r="A92" s="2" t="s">
        <v>103</v>
      </c>
      <c r="F92" s="2">
        <f>+F76+F80</f>
        <v>228.84599999999998</v>
      </c>
      <c r="K92" s="2">
        <f>+K76+K80</f>
        <v>241.56499999999997</v>
      </c>
      <c r="O92" s="2">
        <f>+O76+O80</f>
        <v>268.07999999999993</v>
      </c>
    </row>
    <row r="93" spans="1:21" x14ac:dyDescent="0.2">
      <c r="A93" s="2" t="s">
        <v>104</v>
      </c>
    </row>
    <row r="95" spans="1:21" x14ac:dyDescent="0.2">
      <c r="A95" s="2" t="s">
        <v>141</v>
      </c>
      <c r="T95" s="2">
        <v>4759</v>
      </c>
      <c r="U95" s="2">
        <v>5794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F3D0A-A7D1-44FD-B0FC-94010DE29207}">
  <dimension ref="A1:W48"/>
  <sheetViews>
    <sheetView workbookViewId="0">
      <pane xSplit="1" ySplit="3" topLeftCell="O26" activePane="bottomRight" state="frozen"/>
      <selection pane="topRight" activeCell="B1" sqref="B1"/>
      <selection pane="bottomLeft" activeCell="A4" sqref="A4"/>
      <selection pane="bottomRight" activeCell="A50" sqref="A50"/>
    </sheetView>
  </sheetViews>
  <sheetFormatPr defaultRowHeight="12.75" x14ac:dyDescent="0.2"/>
  <cols>
    <col min="1" max="1" width="27.85546875" bestFit="1" customWidth="1"/>
    <col min="2" max="2" width="9.7109375" customWidth="1"/>
    <col min="3" max="3" width="10" customWidth="1"/>
    <col min="4" max="4" width="10.140625" customWidth="1"/>
    <col min="5" max="5" width="10.5703125" customWidth="1"/>
    <col min="6" max="6" width="10.140625" style="2" customWidth="1"/>
    <col min="7" max="7" width="12" style="2" customWidth="1"/>
    <col min="8" max="14" width="10.140625" style="2" bestFit="1" customWidth="1"/>
    <col min="15" max="19" width="9.140625" style="2"/>
    <col min="20" max="20" width="9.140625" style="18"/>
    <col min="21" max="21" width="9.140625" style="2"/>
    <col min="22" max="22" width="9.140625" style="7"/>
    <col min="23" max="16384" width="9.140625" style="2"/>
  </cols>
  <sheetData>
    <row r="1" spans="1:23" customFormat="1" ht="34.5" x14ac:dyDescent="0.45">
      <c r="A1" s="3" t="s">
        <v>0</v>
      </c>
      <c r="B1" s="3"/>
      <c r="C1" s="3"/>
      <c r="D1" s="3"/>
      <c r="E1" s="3"/>
      <c r="F1" s="3"/>
      <c r="G1" s="3"/>
      <c r="T1" s="18"/>
      <c r="V1" s="7"/>
    </row>
    <row r="2" spans="1:23" s="11" customFormat="1" x14ac:dyDescent="0.2">
      <c r="A2" s="11" t="s">
        <v>1</v>
      </c>
      <c r="F2" s="11">
        <v>44651</v>
      </c>
      <c r="G2" s="11">
        <v>44742</v>
      </c>
      <c r="H2" s="11">
        <v>44834</v>
      </c>
      <c r="I2" s="11">
        <v>44926</v>
      </c>
      <c r="J2" s="11">
        <v>45016</v>
      </c>
      <c r="K2" s="11">
        <v>45107</v>
      </c>
      <c r="L2" s="11">
        <v>45199</v>
      </c>
      <c r="M2" s="11">
        <v>45291</v>
      </c>
      <c r="N2" s="11">
        <v>45382</v>
      </c>
      <c r="V2" s="7"/>
    </row>
    <row r="3" spans="1:23" customFormat="1" x14ac:dyDescent="0.2">
      <c r="A3" s="8" t="s">
        <v>2</v>
      </c>
      <c r="B3" s="9" t="s">
        <v>56</v>
      </c>
      <c r="C3" s="9" t="s">
        <v>57</v>
      </c>
      <c r="D3" s="9" t="s">
        <v>58</v>
      </c>
      <c r="E3" s="9" t="s">
        <v>59</v>
      </c>
      <c r="F3" s="19" t="s">
        <v>51</v>
      </c>
      <c r="G3" s="19" t="s">
        <v>52</v>
      </c>
      <c r="H3" s="9" t="s">
        <v>53</v>
      </c>
      <c r="I3" s="9" t="s">
        <v>50</v>
      </c>
      <c r="J3" s="9" t="s">
        <v>10</v>
      </c>
      <c r="K3" s="9" t="s">
        <v>54</v>
      </c>
      <c r="L3" s="9" t="s">
        <v>55</v>
      </c>
      <c r="M3" s="9" t="s">
        <v>49</v>
      </c>
      <c r="N3" s="9" t="s">
        <v>9</v>
      </c>
      <c r="O3" s="9"/>
      <c r="P3" s="9"/>
      <c r="Q3" s="9"/>
      <c r="R3" s="9"/>
      <c r="S3">
        <v>2021</v>
      </c>
      <c r="T3" s="18" t="s">
        <v>109</v>
      </c>
      <c r="U3">
        <v>2022</v>
      </c>
      <c r="V3" s="7" t="s">
        <v>109</v>
      </c>
      <c r="W3">
        <v>2023</v>
      </c>
    </row>
    <row r="4" spans="1:23" x14ac:dyDescent="0.2">
      <c r="A4" t="s">
        <v>105</v>
      </c>
      <c r="U4" s="2">
        <v>1659.5229999999999</v>
      </c>
      <c r="V4" s="7">
        <f>+W4/U4-1</f>
        <v>0.12760714976532417</v>
      </c>
      <c r="W4" s="2">
        <v>1871.29</v>
      </c>
    </row>
    <row r="5" spans="1:23" x14ac:dyDescent="0.2">
      <c r="A5" t="s">
        <v>106</v>
      </c>
      <c r="U5" s="2">
        <v>528.12699999999995</v>
      </c>
      <c r="V5" s="7">
        <f t="shared" ref="V5:V7" si="0">+W5/U5-1</f>
        <v>5.5621091139063106E-2</v>
      </c>
      <c r="W5" s="2">
        <v>557.50199999999995</v>
      </c>
    </row>
    <row r="6" spans="1:23" x14ac:dyDescent="0.2">
      <c r="A6" t="s">
        <v>107</v>
      </c>
      <c r="U6" s="2">
        <v>60.948</v>
      </c>
      <c r="V6" s="7">
        <f t="shared" si="0"/>
        <v>0.64284307934632801</v>
      </c>
      <c r="W6" s="2">
        <v>100.128</v>
      </c>
    </row>
    <row r="7" spans="1:23" x14ac:dyDescent="0.2">
      <c r="A7" t="s">
        <v>108</v>
      </c>
      <c r="U7" s="2">
        <f>+SUM(U4:U6)</f>
        <v>2248.5979999999995</v>
      </c>
      <c r="V7" s="7">
        <f t="shared" si="0"/>
        <v>0.12466523584918265</v>
      </c>
      <c r="W7" s="2">
        <f>+SUM(W4:W6)</f>
        <v>2528.92</v>
      </c>
    </row>
    <row r="9" spans="1:23" x14ac:dyDescent="0.2">
      <c r="A9" t="s">
        <v>112</v>
      </c>
      <c r="B9" s="12"/>
      <c r="C9" s="12"/>
      <c r="D9" s="12"/>
      <c r="E9" s="12"/>
      <c r="F9" s="20"/>
      <c r="G9" s="20"/>
    </row>
    <row r="10" spans="1:23" ht="38.25" x14ac:dyDescent="0.2">
      <c r="A10" s="12" t="s">
        <v>111</v>
      </c>
      <c r="B10" s="2"/>
      <c r="C10" s="2"/>
      <c r="D10" s="2"/>
      <c r="E10" s="2"/>
      <c r="F10" s="2">
        <v>1389.3</v>
      </c>
      <c r="G10" s="2">
        <v>1189.5</v>
      </c>
      <c r="H10" s="2">
        <v>1081.2</v>
      </c>
      <c r="I10" s="2">
        <v>1222.9000000000001</v>
      </c>
      <c r="J10" s="2">
        <v>1305.4000000000001</v>
      </c>
      <c r="K10" s="2">
        <v>1372.5</v>
      </c>
      <c r="L10" s="2">
        <v>1322.8</v>
      </c>
      <c r="M10" s="2">
        <v>1468.9</v>
      </c>
      <c r="T10" s="2"/>
    </row>
    <row r="11" spans="1:23" x14ac:dyDescent="0.2">
      <c r="A11" s="12"/>
      <c r="B11" s="2"/>
      <c r="C11" s="2"/>
      <c r="D11" s="2"/>
      <c r="E11" s="2"/>
      <c r="T11" s="2"/>
    </row>
    <row r="12" spans="1:23" ht="25.5" x14ac:dyDescent="0.2">
      <c r="A12" s="21" t="s">
        <v>113</v>
      </c>
    </row>
    <row r="13" spans="1:23" ht="38.25" x14ac:dyDescent="0.2">
      <c r="A13" s="12" t="s">
        <v>114</v>
      </c>
      <c r="F13" s="2">
        <v>-89.7</v>
      </c>
      <c r="G13" s="2">
        <v>-207.3</v>
      </c>
      <c r="H13" s="2">
        <v>-105.7</v>
      </c>
      <c r="I13" s="2">
        <v>118.8</v>
      </c>
      <c r="J13" s="2">
        <v>75.099999999999994</v>
      </c>
      <c r="K13" s="2">
        <v>48.4</v>
      </c>
      <c r="L13" s="2">
        <v>-56.1</v>
      </c>
      <c r="M13" s="2">
        <v>130.5</v>
      </c>
    </row>
    <row r="14" spans="1:23" ht="25.5" x14ac:dyDescent="0.2">
      <c r="A14" s="12" t="s">
        <v>115</v>
      </c>
      <c r="F14" s="2">
        <v>27.4</v>
      </c>
      <c r="G14" s="2">
        <v>7.5</v>
      </c>
      <c r="H14" s="2">
        <v>-2.6</v>
      </c>
      <c r="I14" s="2">
        <v>22.9</v>
      </c>
      <c r="J14" s="2">
        <v>7.4</v>
      </c>
      <c r="K14" s="2">
        <v>18.7</v>
      </c>
      <c r="L14" s="2">
        <v>6.4</v>
      </c>
      <c r="M14" s="2">
        <v>15.6</v>
      </c>
    </row>
    <row r="15" spans="1:23" x14ac:dyDescent="0.2">
      <c r="A15" s="12" t="s">
        <v>116</v>
      </c>
      <c r="F15" s="2">
        <f>+SUM(F13:F14)</f>
        <v>-62.300000000000004</v>
      </c>
      <c r="G15" s="2">
        <f t="shared" ref="G15:M15" si="1">+SUM(G13:G14)</f>
        <v>-199.8</v>
      </c>
      <c r="H15" s="2">
        <f t="shared" si="1"/>
        <v>-108.3</v>
      </c>
      <c r="I15" s="2">
        <f t="shared" si="1"/>
        <v>141.69999999999999</v>
      </c>
      <c r="J15" s="2">
        <f t="shared" si="1"/>
        <v>82.5</v>
      </c>
      <c r="K15" s="2">
        <f t="shared" si="1"/>
        <v>67.099999999999994</v>
      </c>
      <c r="L15" s="2">
        <f t="shared" si="1"/>
        <v>-49.7</v>
      </c>
      <c r="M15" s="2">
        <f t="shared" si="1"/>
        <v>146.1</v>
      </c>
    </row>
    <row r="17" spans="1:23" x14ac:dyDescent="0.2">
      <c r="A17" s="21" t="s">
        <v>121</v>
      </c>
      <c r="F17" s="22" t="s">
        <v>117</v>
      </c>
      <c r="G17" s="22" t="s">
        <v>118</v>
      </c>
      <c r="H17" s="22" t="s">
        <v>119</v>
      </c>
      <c r="I17" s="22" t="s">
        <v>120</v>
      </c>
      <c r="J17" s="22" t="s">
        <v>117</v>
      </c>
      <c r="K17" s="22" t="s">
        <v>118</v>
      </c>
      <c r="L17" s="22" t="s">
        <v>119</v>
      </c>
      <c r="M17" s="22" t="s">
        <v>120</v>
      </c>
      <c r="N17" s="22"/>
    </row>
    <row r="18" spans="1:23" ht="38.25" x14ac:dyDescent="0.2">
      <c r="A18" s="12" t="s">
        <v>111</v>
      </c>
      <c r="F18" s="2">
        <v>1392.5</v>
      </c>
      <c r="G18" s="2">
        <v>1338.9</v>
      </c>
      <c r="H18" s="2">
        <v>1295.5999999999999</v>
      </c>
      <c r="I18" s="2">
        <v>1267.2</v>
      </c>
      <c r="J18" s="2">
        <v>1287.5</v>
      </c>
      <c r="K18" s="2">
        <v>1310.7</v>
      </c>
      <c r="L18" s="2">
        <v>1332.6</v>
      </c>
      <c r="M18" s="2">
        <v>1340.7</v>
      </c>
    </row>
    <row r="20" spans="1:23" x14ac:dyDescent="0.2">
      <c r="A20" t="s">
        <v>2</v>
      </c>
    </row>
    <row r="21" spans="1:23" x14ac:dyDescent="0.2">
      <c r="A21" t="s">
        <v>122</v>
      </c>
    </row>
    <row r="22" spans="1:23" x14ac:dyDescent="0.2">
      <c r="A22" s="27" t="s">
        <v>123</v>
      </c>
    </row>
    <row r="23" spans="1:23" x14ac:dyDescent="0.2">
      <c r="A23" t="s">
        <v>124</v>
      </c>
      <c r="U23" s="2">
        <v>729.71</v>
      </c>
      <c r="V23" s="7">
        <f t="shared" ref="V23:V47" si="2">+W23/U23-1</f>
        <v>0.11630921873072864</v>
      </c>
      <c r="W23" s="2">
        <v>814.58199999999999</v>
      </c>
    </row>
    <row r="24" spans="1:23" x14ac:dyDescent="0.2">
      <c r="A24" t="s">
        <v>106</v>
      </c>
      <c r="U24" s="2">
        <v>528.12699999999995</v>
      </c>
      <c r="V24" s="7">
        <f t="shared" si="2"/>
        <v>5.5621091139063106E-2</v>
      </c>
      <c r="W24" s="2">
        <v>557.50199999999995</v>
      </c>
    </row>
    <row r="25" spans="1:23" x14ac:dyDescent="0.2">
      <c r="A25" t="s">
        <v>107</v>
      </c>
      <c r="U25" s="2">
        <v>45.372</v>
      </c>
      <c r="V25" s="7">
        <f t="shared" si="2"/>
        <v>0.75727320814599297</v>
      </c>
      <c r="W25" s="2">
        <v>79.730999999999995</v>
      </c>
    </row>
    <row r="26" spans="1:23" s="5" customFormat="1" x14ac:dyDescent="0.2">
      <c r="A26" s="4" t="s">
        <v>125</v>
      </c>
      <c r="B26" s="4"/>
      <c r="C26" s="4"/>
      <c r="D26" s="4"/>
      <c r="E26" s="4"/>
      <c r="T26" s="23"/>
      <c r="U26" s="5">
        <f>SUM(U23:U25)</f>
        <v>1303.2090000000001</v>
      </c>
      <c r="V26" s="7">
        <f t="shared" si="2"/>
        <v>0.1140308269817043</v>
      </c>
      <c r="W26" s="5">
        <f>SUM(W23:W25)</f>
        <v>1451.8149999999998</v>
      </c>
    </row>
    <row r="27" spans="1:23" x14ac:dyDescent="0.2">
      <c r="A27" s="27" t="s">
        <v>126</v>
      </c>
    </row>
    <row r="28" spans="1:23" x14ac:dyDescent="0.2">
      <c r="A28" t="s">
        <v>124</v>
      </c>
      <c r="U28" s="2">
        <v>567.00400000000002</v>
      </c>
      <c r="V28" s="7">
        <f t="shared" si="2"/>
        <v>6.3997784848078831E-2</v>
      </c>
      <c r="W28" s="2">
        <v>603.29100000000005</v>
      </c>
    </row>
    <row r="29" spans="1:23" x14ac:dyDescent="0.2">
      <c r="A29" t="s">
        <v>107</v>
      </c>
      <c r="U29" s="2">
        <v>9.1029999999999998</v>
      </c>
      <c r="V29" s="7">
        <f t="shared" si="2"/>
        <v>0.39129957156981199</v>
      </c>
      <c r="W29" s="2">
        <v>12.664999999999999</v>
      </c>
    </row>
    <row r="30" spans="1:23" s="5" customFormat="1" x14ac:dyDescent="0.2">
      <c r="A30" s="4" t="s">
        <v>127</v>
      </c>
      <c r="B30" s="4"/>
      <c r="C30" s="4"/>
      <c r="D30" s="4"/>
      <c r="E30" s="4"/>
      <c r="T30" s="23"/>
      <c r="U30" s="5">
        <f>SUM(U28:U29)</f>
        <v>576.10699999999997</v>
      </c>
      <c r="V30" s="7">
        <f t="shared" si="2"/>
        <v>6.9169442482039045E-2</v>
      </c>
      <c r="W30" s="5">
        <f>SUM(W28:W29)</f>
        <v>615.95600000000002</v>
      </c>
    </row>
    <row r="31" spans="1:23" x14ac:dyDescent="0.2">
      <c r="A31" s="27" t="s">
        <v>128</v>
      </c>
    </row>
    <row r="32" spans="1:23" x14ac:dyDescent="0.2">
      <c r="A32" t="s">
        <v>124</v>
      </c>
      <c r="U32" s="2">
        <v>223.16</v>
      </c>
      <c r="V32" s="7">
        <f t="shared" si="2"/>
        <v>0.2652401864133358</v>
      </c>
      <c r="W32" s="2">
        <v>282.351</v>
      </c>
    </row>
    <row r="33" spans="1:23" x14ac:dyDescent="0.2">
      <c r="A33" t="s">
        <v>107</v>
      </c>
      <c r="U33" s="2">
        <v>5.1509999999999998</v>
      </c>
      <c r="V33" s="7">
        <f t="shared" si="2"/>
        <v>1.2813046010483387E-2</v>
      </c>
      <c r="W33" s="2">
        <v>5.2169999999999996</v>
      </c>
    </row>
    <row r="34" spans="1:23" s="5" customFormat="1" x14ac:dyDescent="0.2">
      <c r="A34" s="4" t="s">
        <v>129</v>
      </c>
      <c r="B34" s="4"/>
      <c r="C34" s="4"/>
      <c r="D34" s="4"/>
      <c r="E34" s="4"/>
      <c r="T34" s="23"/>
      <c r="U34" s="5">
        <f>SUM(U32:U33)</f>
        <v>228.31100000000001</v>
      </c>
      <c r="V34" s="7">
        <f t="shared" si="2"/>
        <v>0.25954509419169458</v>
      </c>
      <c r="W34" s="5">
        <f>SUM(W32:W33)</f>
        <v>287.56799999999998</v>
      </c>
    </row>
    <row r="35" spans="1:23" s="25" customFormat="1" x14ac:dyDescent="0.2">
      <c r="A35" s="27" t="s">
        <v>130</v>
      </c>
      <c r="B35" s="24"/>
      <c r="C35" s="24"/>
      <c r="D35" s="24"/>
      <c r="E35" s="24"/>
      <c r="T35" s="26"/>
      <c r="V35" s="7"/>
    </row>
    <row r="36" spans="1:23" x14ac:dyDescent="0.2">
      <c r="A36" t="s">
        <v>124</v>
      </c>
      <c r="U36" s="2">
        <v>139.649</v>
      </c>
      <c r="V36" s="7">
        <f t="shared" si="2"/>
        <v>0.22497117773847286</v>
      </c>
      <c r="W36" s="2">
        <v>171.066</v>
      </c>
    </row>
    <row r="37" spans="1:23" x14ac:dyDescent="0.2">
      <c r="A37" t="s">
        <v>107</v>
      </c>
      <c r="U37" s="2">
        <v>1.3220000000000001</v>
      </c>
      <c r="V37" s="7">
        <f t="shared" si="2"/>
        <v>0.90242057488653549</v>
      </c>
      <c r="W37" s="2">
        <v>2.5150000000000001</v>
      </c>
    </row>
    <row r="38" spans="1:23" s="5" customFormat="1" x14ac:dyDescent="0.2">
      <c r="A38" s="4" t="s">
        <v>131</v>
      </c>
      <c r="B38" s="4"/>
      <c r="C38" s="4"/>
      <c r="D38" s="4"/>
      <c r="E38" s="4"/>
      <c r="T38" s="23"/>
      <c r="U38" s="5">
        <f>SUM(U36:U37)</f>
        <v>140.971</v>
      </c>
      <c r="V38" s="7">
        <f t="shared" si="2"/>
        <v>0.23132417305686981</v>
      </c>
      <c r="W38" s="5">
        <f>SUM(W36:W37)</f>
        <v>173.58099999999999</v>
      </c>
    </row>
    <row r="39" spans="1:23" s="5" customFormat="1" x14ac:dyDescent="0.2">
      <c r="A39" s="4" t="s">
        <v>132</v>
      </c>
      <c r="B39" s="4"/>
      <c r="C39" s="4"/>
      <c r="D39" s="4"/>
      <c r="E39" s="4"/>
      <c r="T39" s="23"/>
      <c r="U39" s="5">
        <f>+U26+U30+U34+U38</f>
        <v>2248.598</v>
      </c>
      <c r="V39" s="10">
        <f t="shared" si="2"/>
        <v>0.12466523584918243</v>
      </c>
      <c r="W39" s="5">
        <f>+W26+W30+W34+W38</f>
        <v>2528.92</v>
      </c>
    </row>
    <row r="41" spans="1:23" x14ac:dyDescent="0.2">
      <c r="A41" t="s">
        <v>133</v>
      </c>
    </row>
    <row r="42" spans="1:23" x14ac:dyDescent="0.2">
      <c r="A42" t="s">
        <v>134</v>
      </c>
      <c r="U42" s="2">
        <v>404.34100000000001</v>
      </c>
      <c r="V42" s="7">
        <f t="shared" si="2"/>
        <v>0.10446627969956057</v>
      </c>
      <c r="W42" s="2">
        <v>446.58100000000002</v>
      </c>
    </row>
    <row r="43" spans="1:23" x14ac:dyDescent="0.2">
      <c r="A43" t="s">
        <v>135</v>
      </c>
      <c r="U43" s="2">
        <v>264.58300000000003</v>
      </c>
      <c r="V43" s="7">
        <f t="shared" si="2"/>
        <v>4.3921945098513326E-2</v>
      </c>
      <c r="W43" s="2">
        <v>276.20400000000001</v>
      </c>
    </row>
    <row r="44" spans="1:23" x14ac:dyDescent="0.2">
      <c r="A44" t="s">
        <v>136</v>
      </c>
      <c r="U44" s="2">
        <v>107.205</v>
      </c>
      <c r="V44" s="7">
        <f t="shared" si="2"/>
        <v>0.23241453290424907</v>
      </c>
      <c r="W44" s="2">
        <v>132.12100000000001</v>
      </c>
    </row>
    <row r="45" spans="1:23" x14ac:dyDescent="0.2">
      <c r="A45" t="s">
        <v>137</v>
      </c>
      <c r="U45" s="2">
        <v>146.857</v>
      </c>
      <c r="V45" s="7">
        <f t="shared" si="2"/>
        <v>4.8414443982922162E-2</v>
      </c>
      <c r="W45" s="2">
        <v>153.96700000000001</v>
      </c>
    </row>
    <row r="46" spans="1:23" ht="25.5" x14ac:dyDescent="0.2">
      <c r="A46" s="12" t="s">
        <v>138</v>
      </c>
      <c r="U46" s="2">
        <v>91.078999999999994</v>
      </c>
      <c r="V46" s="7">
        <f t="shared" si="2"/>
        <v>0.25637084289463008</v>
      </c>
      <c r="W46" s="2">
        <v>114.429</v>
      </c>
    </row>
    <row r="47" spans="1:23" ht="38.25" x14ac:dyDescent="0.2">
      <c r="A47" s="12" t="s">
        <v>139</v>
      </c>
      <c r="U47" s="2">
        <v>26.893000000000001</v>
      </c>
      <c r="V47" s="7">
        <f t="shared" si="2"/>
        <v>-0.21879299445952483</v>
      </c>
      <c r="W47" s="2">
        <v>21.009</v>
      </c>
    </row>
    <row r="48" spans="1:23" s="5" customFormat="1" x14ac:dyDescent="0.2">
      <c r="A48" s="4" t="s">
        <v>140</v>
      </c>
      <c r="B48" s="4"/>
      <c r="C48" s="4"/>
      <c r="D48" s="4"/>
      <c r="E48" s="4"/>
      <c r="T48" s="23"/>
      <c r="U48" s="5">
        <f>SUM(U42:U47)</f>
        <v>1040.9579999999999</v>
      </c>
      <c r="V48" s="10">
        <f>+W48/U48-1</f>
        <v>9.9286426541705053E-2</v>
      </c>
      <c r="W48" s="5">
        <f>+SUM(W42:W47)</f>
        <v>1144.3110000000001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Model</vt:lpstr>
      <vt:lpstr>Segments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Hesselberth</dc:creator>
  <cp:lastModifiedBy>Dennis Hesselberth</cp:lastModifiedBy>
  <dcterms:created xsi:type="dcterms:W3CDTF">2024-04-23T17:44:23Z</dcterms:created>
  <dcterms:modified xsi:type="dcterms:W3CDTF">2024-04-24T20:57:35Z</dcterms:modified>
</cp:coreProperties>
</file>