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\"/>
    </mc:Choice>
  </mc:AlternateContent>
  <xr:revisionPtr revIDLastSave="0" documentId="13_ncr:1_{9239C8FB-3B8D-409C-9297-7E62B406CE3B}" xr6:coauthVersionLast="47" xr6:coauthVersionMax="47" xr10:uidLastSave="{00000000-0000-0000-0000-000000000000}"/>
  <bookViews>
    <workbookView xWindow="-120" yWindow="-120" windowWidth="29040" windowHeight="15840" activeTab="1" xr2:uid="{10783BE3-1511-40EE-B434-F8D55581C4E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D7" i="1"/>
  <c r="C7" i="1"/>
  <c r="K9" i="1"/>
  <c r="P33" i="2"/>
  <c r="S24" i="2"/>
  <c r="AF4" i="2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E4" i="2"/>
  <c r="AE10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7" i="2"/>
  <c r="AE6" i="2"/>
  <c r="AE8" i="2" s="1"/>
  <c r="Q19" i="2"/>
  <c r="Q18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P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P18" i="2"/>
  <c r="S4" i="2"/>
  <c r="S7" i="2"/>
  <c r="S6" i="2"/>
  <c r="P30" i="2"/>
  <c r="P27" i="2" s="1"/>
  <c r="AD27" i="2" s="1"/>
  <c r="K7" i="1"/>
  <c r="AE3" i="2"/>
  <c r="AE5" i="2" s="1"/>
  <c r="S3" i="2"/>
  <c r="AF3" i="2" l="1"/>
  <c r="AF24" i="2" s="1"/>
  <c r="AE9" i="2"/>
  <c r="AE11" i="2" s="1"/>
  <c r="AG3" i="2"/>
  <c r="AG24" i="2" s="1"/>
  <c r="AE24" i="2"/>
  <c r="AE20" i="2" l="1"/>
  <c r="AF8" i="2"/>
  <c r="AF5" i="2"/>
  <c r="AG5" i="2"/>
  <c r="AH3" i="2"/>
  <c r="AH24" i="2" s="1"/>
  <c r="AE12" i="2"/>
  <c r="AE22" i="2" s="1"/>
  <c r="AE13" i="2"/>
  <c r="AE17" i="2"/>
  <c r="AF17" i="2" l="1"/>
  <c r="AF9" i="2"/>
  <c r="AF20" i="2" s="1"/>
  <c r="AG8" i="2"/>
  <c r="AG17" i="2"/>
  <c r="AG9" i="2"/>
  <c r="AG20" i="2" s="1"/>
  <c r="AH5" i="2"/>
  <c r="AE21" i="2"/>
  <c r="AE27" i="2"/>
  <c r="AE14" i="2"/>
  <c r="AI3" i="2"/>
  <c r="AI24" i="2" s="1"/>
  <c r="AF10" i="2" l="1"/>
  <c r="AF11" i="2" s="1"/>
  <c r="AF12" i="2" s="1"/>
  <c r="AF22" i="2" s="1"/>
  <c r="AH8" i="2"/>
  <c r="AH9" i="2" s="1"/>
  <c r="AH20" i="2" s="1"/>
  <c r="AH17" i="2"/>
  <c r="AI5" i="2"/>
  <c r="AJ3" i="2"/>
  <c r="AJ24" i="2" s="1"/>
  <c r="AI8" i="2" l="1"/>
  <c r="AI9" i="2" s="1"/>
  <c r="AI20" i="2" s="1"/>
  <c r="AJ5" i="2"/>
  <c r="AI17" i="2"/>
  <c r="AF13" i="2"/>
  <c r="AK3" i="2"/>
  <c r="AK24" i="2" s="1"/>
  <c r="AJ8" i="2" l="1"/>
  <c r="AJ9" i="2" s="1"/>
  <c r="AJ20" i="2" s="1"/>
  <c r="AJ17" i="2"/>
  <c r="AK5" i="2"/>
  <c r="AF27" i="2"/>
  <c r="AF14" i="2"/>
  <c r="AF21" i="2"/>
  <c r="AL3" i="2"/>
  <c r="AL24" i="2" s="1"/>
  <c r="AG10" i="2" l="1"/>
  <c r="AG11" i="2" s="1"/>
  <c r="AG12" i="2" s="1"/>
  <c r="AG22" i="2" s="1"/>
  <c r="AK8" i="2"/>
  <c r="AK9" i="2" s="1"/>
  <c r="AK20" i="2" s="1"/>
  <c r="AK17" i="2"/>
  <c r="AL5" i="2"/>
  <c r="AM3" i="2"/>
  <c r="AM24" i="2" s="1"/>
  <c r="AG13" i="2" l="1"/>
  <c r="AG27" i="2" s="1"/>
  <c r="AL8" i="2"/>
  <c r="AL9" i="2" s="1"/>
  <c r="AL20" i="2" s="1"/>
  <c r="AL17" i="2"/>
  <c r="AM5" i="2"/>
  <c r="AN3" i="2"/>
  <c r="AN24" i="2" s="1"/>
  <c r="AG14" i="2" l="1"/>
  <c r="AG21" i="2"/>
  <c r="AH10" i="2"/>
  <c r="AH11" i="2" s="1"/>
  <c r="AH12" i="2" s="1"/>
  <c r="AH22" i="2" s="1"/>
  <c r="AM8" i="2"/>
  <c r="AM9" i="2" s="1"/>
  <c r="AM20" i="2" s="1"/>
  <c r="AM17" i="2"/>
  <c r="AN5" i="2"/>
  <c r="AO3" i="2"/>
  <c r="AO24" i="2" s="1"/>
  <c r="AH13" i="2" l="1"/>
  <c r="AH27" i="2" s="1"/>
  <c r="AN8" i="2"/>
  <c r="AN9" i="2" s="1"/>
  <c r="AN20" i="2" s="1"/>
  <c r="AO5" i="2"/>
  <c r="AN17" i="2"/>
  <c r="AP3" i="2"/>
  <c r="AP24" i="2" s="1"/>
  <c r="AH21" i="2" l="1"/>
  <c r="AH14" i="2"/>
  <c r="AI10" i="2"/>
  <c r="AI11" i="2" s="1"/>
  <c r="AO8" i="2"/>
  <c r="AO9" i="2" s="1"/>
  <c r="AO20" i="2" s="1"/>
  <c r="AO17" i="2"/>
  <c r="AP5" i="2"/>
  <c r="AQ3" i="2"/>
  <c r="AQ24" i="2" s="1"/>
  <c r="AI12" i="2" l="1"/>
  <c r="AI22" i="2" s="1"/>
  <c r="AI13" i="2"/>
  <c r="AP8" i="2"/>
  <c r="AQ5" i="2"/>
  <c r="AP17" i="2"/>
  <c r="AP9" i="2"/>
  <c r="AP20" i="2" s="1"/>
  <c r="AI27" i="2"/>
  <c r="AI21" i="2"/>
  <c r="AI14" i="2"/>
  <c r="AR3" i="2"/>
  <c r="AR24" i="2" s="1"/>
  <c r="AJ10" i="2" l="1"/>
  <c r="AJ11" i="2" s="1"/>
  <c r="AJ12" i="2" s="1"/>
  <c r="AJ22" i="2" s="1"/>
  <c r="AQ8" i="2"/>
  <c r="AR5" i="2"/>
  <c r="AQ17" i="2"/>
  <c r="AQ9" i="2"/>
  <c r="AQ20" i="2" s="1"/>
  <c r="AS3" i="2"/>
  <c r="AS24" i="2" s="1"/>
  <c r="AJ13" i="2" l="1"/>
  <c r="AJ27" i="2" s="1"/>
  <c r="AR8" i="2"/>
  <c r="AS5" i="2"/>
  <c r="AR17" i="2"/>
  <c r="AR9" i="2"/>
  <c r="AR20" i="2" s="1"/>
  <c r="AT3" i="2"/>
  <c r="AT24" i="2" s="1"/>
  <c r="AJ14" i="2" l="1"/>
  <c r="AJ21" i="2"/>
  <c r="AK10" i="2"/>
  <c r="AK11" i="2" s="1"/>
  <c r="AK12" i="2" s="1"/>
  <c r="AK22" i="2" s="1"/>
  <c r="AS8" i="2"/>
  <c r="AS9" i="2" s="1"/>
  <c r="AS20" i="2" s="1"/>
  <c r="AT5" i="2"/>
  <c r="AS17" i="2"/>
  <c r="AU3" i="2"/>
  <c r="AU24" i="2" s="1"/>
  <c r="AU5" i="2" l="1"/>
  <c r="AU8" i="2"/>
  <c r="AT8" i="2"/>
  <c r="AU17" i="2"/>
  <c r="AU9" i="2"/>
  <c r="AU20" i="2" s="1"/>
  <c r="AT17" i="2"/>
  <c r="AT9" i="2"/>
  <c r="AT20" i="2" s="1"/>
  <c r="AK13" i="2"/>
  <c r="AK27" i="2" s="1"/>
  <c r="AK21" i="2"/>
  <c r="AK14" i="2"/>
  <c r="AL10" i="2" l="1"/>
  <c r="AL11" i="2" s="1"/>
  <c r="AL12" i="2" s="1"/>
  <c r="AL22" i="2" s="1"/>
  <c r="AL13" i="2" l="1"/>
  <c r="AL27" i="2" s="1"/>
  <c r="AM10" i="2" l="1"/>
  <c r="AM11" i="2" s="1"/>
  <c r="AM12" i="2" s="1"/>
  <c r="AM22" i="2" s="1"/>
  <c r="AL21" i="2"/>
  <c r="AL14" i="2"/>
  <c r="AM13" i="2" l="1"/>
  <c r="AM27" i="2" l="1"/>
  <c r="AM21" i="2"/>
  <c r="AM14" i="2"/>
  <c r="AN10" i="2" l="1"/>
  <c r="AN11" i="2" s="1"/>
  <c r="AN12" i="2" l="1"/>
  <c r="AN22" i="2" s="1"/>
  <c r="AN13" i="2" l="1"/>
  <c r="AN21" i="2" l="1"/>
  <c r="AN27" i="2"/>
  <c r="AO10" i="2" s="1"/>
  <c r="AO11" i="2" s="1"/>
  <c r="AN14" i="2"/>
  <c r="AO12" i="2"/>
  <c r="AO22" i="2" s="1"/>
  <c r="AO13" i="2" l="1"/>
  <c r="AO27" i="2" s="1"/>
  <c r="AP10" i="2"/>
  <c r="AP11" i="2" s="1"/>
  <c r="AO21" i="2"/>
  <c r="AO14" i="2"/>
  <c r="AP12" i="2" l="1"/>
  <c r="AP22" i="2" s="1"/>
  <c r="AP13" i="2"/>
  <c r="AP27" i="2"/>
  <c r="AP21" i="2"/>
  <c r="AP14" i="2"/>
  <c r="AQ10" i="2" l="1"/>
  <c r="AQ11" i="2" s="1"/>
  <c r="AQ12" i="2" l="1"/>
  <c r="AQ22" i="2" s="1"/>
  <c r="AQ13" i="2"/>
  <c r="AQ27" i="2"/>
  <c r="AQ21" i="2"/>
  <c r="AQ14" i="2"/>
  <c r="AR10" i="2" l="1"/>
  <c r="AR11" i="2" s="1"/>
  <c r="AR12" i="2" l="1"/>
  <c r="AR22" i="2" s="1"/>
  <c r="AR13" i="2" l="1"/>
  <c r="AR14" i="2" l="1"/>
  <c r="AR21" i="2"/>
  <c r="AR27" i="2"/>
  <c r="AS10" i="2" s="1"/>
  <c r="AS11" i="2" s="1"/>
  <c r="AS12" i="2"/>
  <c r="AS22" i="2" s="1"/>
  <c r="AS13" i="2" l="1"/>
  <c r="AS27" i="2" l="1"/>
  <c r="AT10" i="2" s="1"/>
  <c r="AT11" i="2" s="1"/>
  <c r="AT12" i="2" s="1"/>
  <c r="AT22" i="2" s="1"/>
  <c r="AS14" i="2"/>
  <c r="AS21" i="2"/>
  <c r="AT13" i="2"/>
  <c r="AT27" i="2" s="1"/>
  <c r="AT21" i="2" l="1"/>
  <c r="AT14" i="2"/>
  <c r="AU10" i="2"/>
  <c r="AU11" i="2" s="1"/>
  <c r="AU12" i="2" l="1"/>
  <c r="AU22" i="2" s="1"/>
  <c r="AU13" i="2" l="1"/>
  <c r="AV13" i="2" l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AX23" i="2" s="1"/>
  <c r="AX24" i="2" s="1"/>
  <c r="AX25" i="2" s="1"/>
  <c r="AX26" i="2" s="1"/>
  <c r="AU21" i="2"/>
  <c r="AU14" i="2"/>
  <c r="AU27" i="2"/>
  <c r="L7" i="1" l="1"/>
  <c r="L6" i="1"/>
  <c r="L3" i="1"/>
  <c r="L5" i="1" l="1"/>
  <c r="L8" i="1"/>
  <c r="U10" i="2"/>
  <c r="U8" i="2"/>
  <c r="U5" i="2"/>
  <c r="U17" i="2" s="1"/>
  <c r="V10" i="2"/>
  <c r="V24" i="2"/>
  <c r="V8" i="2"/>
  <c r="V5" i="2"/>
  <c r="V17" i="2" s="1"/>
  <c r="W10" i="2"/>
  <c r="W24" i="2"/>
  <c r="W8" i="2"/>
  <c r="W5" i="2"/>
  <c r="W17" i="2" s="1"/>
  <c r="X10" i="2"/>
  <c r="X24" i="2"/>
  <c r="X8" i="2"/>
  <c r="X5" i="2"/>
  <c r="X17" i="2" s="1"/>
  <c r="Y10" i="2"/>
  <c r="Y24" i="2"/>
  <c r="Y8" i="2"/>
  <c r="Y5" i="2"/>
  <c r="Y17" i="2" s="1"/>
  <c r="Z10" i="2"/>
  <c r="Z24" i="2"/>
  <c r="Z8" i="2"/>
  <c r="Z5" i="2"/>
  <c r="Z17" i="2" s="1"/>
  <c r="AA10" i="2"/>
  <c r="AA24" i="2"/>
  <c r="AA8" i="2"/>
  <c r="AA5" i="2"/>
  <c r="AA17" i="2" s="1"/>
  <c r="AB10" i="2"/>
  <c r="AB24" i="2"/>
  <c r="AB8" i="2"/>
  <c r="AB5" i="2"/>
  <c r="AB17" i="2" s="1"/>
  <c r="AC10" i="2"/>
  <c r="AC24" i="2"/>
  <c r="AC8" i="2"/>
  <c r="AC5" i="2"/>
  <c r="AD24" i="2"/>
  <c r="AD10" i="2"/>
  <c r="AD8" i="2"/>
  <c r="AD5" i="2"/>
  <c r="C12" i="2"/>
  <c r="C7" i="2"/>
  <c r="C6" i="2"/>
  <c r="D6" i="2" s="1"/>
  <c r="E6" i="2" s="1"/>
  <c r="C4" i="2"/>
  <c r="D4" i="2" s="1"/>
  <c r="C3" i="2"/>
  <c r="D3" i="2" s="1"/>
  <c r="E3" i="2" s="1"/>
  <c r="G12" i="2"/>
  <c r="H12" i="2" s="1"/>
  <c r="G7" i="2"/>
  <c r="G6" i="2"/>
  <c r="H6" i="2" s="1"/>
  <c r="G4" i="2"/>
  <c r="G3" i="2"/>
  <c r="B10" i="2"/>
  <c r="C10" i="2" s="1"/>
  <c r="B8" i="2"/>
  <c r="B5" i="2"/>
  <c r="F10" i="2"/>
  <c r="F24" i="2"/>
  <c r="F8" i="2"/>
  <c r="F5" i="2"/>
  <c r="P3" i="2"/>
  <c r="K12" i="2"/>
  <c r="K7" i="2"/>
  <c r="L7" i="2" s="1"/>
  <c r="M7" i="2" s="1"/>
  <c r="K6" i="2"/>
  <c r="K4" i="2"/>
  <c r="K3" i="2"/>
  <c r="L3" i="2" s="1"/>
  <c r="O12" i="2"/>
  <c r="P12" i="2" s="1"/>
  <c r="O10" i="2"/>
  <c r="O7" i="2"/>
  <c r="P7" i="2" s="1"/>
  <c r="O6" i="2"/>
  <c r="P6" i="2" s="1"/>
  <c r="O4" i="2"/>
  <c r="P4" i="2" s="1"/>
  <c r="O3" i="2"/>
  <c r="J10" i="2"/>
  <c r="J24" i="2"/>
  <c r="J8" i="2"/>
  <c r="J5" i="2"/>
  <c r="N10" i="2"/>
  <c r="N24" i="2"/>
  <c r="N8" i="2"/>
  <c r="N5" i="2"/>
  <c r="K8" i="1"/>
  <c r="K10" i="1" s="1"/>
  <c r="K5" i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P5" i="2" l="1"/>
  <c r="I12" i="2"/>
  <c r="P10" i="2"/>
  <c r="E4" i="2"/>
  <c r="E5" i="2" s="1"/>
  <c r="E17" i="2" s="1"/>
  <c r="J9" i="2"/>
  <c r="J11" i="2" s="1"/>
  <c r="D7" i="2"/>
  <c r="D8" i="2" s="1"/>
  <c r="O5" i="2"/>
  <c r="O17" i="2" s="1"/>
  <c r="I4" i="2"/>
  <c r="L4" i="2"/>
  <c r="M4" i="2" s="1"/>
  <c r="G8" i="2"/>
  <c r="M3" i="2"/>
  <c r="L6" i="2"/>
  <c r="L8" i="2" s="1"/>
  <c r="H7" i="2"/>
  <c r="H8" i="2" s="1"/>
  <c r="G10" i="2"/>
  <c r="H4" i="2"/>
  <c r="K10" i="2"/>
  <c r="L12" i="2"/>
  <c r="M12" i="2" s="1"/>
  <c r="D10" i="2"/>
  <c r="E10" i="2" s="1"/>
  <c r="I6" i="2"/>
  <c r="X9" i="2"/>
  <c r="X20" i="2" s="1"/>
  <c r="H10" i="2"/>
  <c r="I10" i="2" s="1"/>
  <c r="U9" i="2"/>
  <c r="V9" i="2"/>
  <c r="W9" i="2"/>
  <c r="Y9" i="2"/>
  <c r="Z9" i="2"/>
  <c r="AA9" i="2"/>
  <c r="AB9" i="2"/>
  <c r="AC9" i="2"/>
  <c r="AC20" i="2" s="1"/>
  <c r="AC17" i="2"/>
  <c r="S17" i="2" s="1"/>
  <c r="AD9" i="2"/>
  <c r="AD20" i="2" s="1"/>
  <c r="AD17" i="2"/>
  <c r="C8" i="2"/>
  <c r="D12" i="2"/>
  <c r="E12" i="2" s="1"/>
  <c r="G24" i="2"/>
  <c r="C5" i="2"/>
  <c r="K24" i="2"/>
  <c r="G5" i="2"/>
  <c r="H3" i="2"/>
  <c r="D5" i="2"/>
  <c r="B9" i="2"/>
  <c r="B20" i="2" s="1"/>
  <c r="B11" i="2"/>
  <c r="B17" i="2"/>
  <c r="F9" i="2"/>
  <c r="F11" i="2" s="1"/>
  <c r="F17" i="2"/>
  <c r="P24" i="2"/>
  <c r="P8" i="2"/>
  <c r="P9" i="2" s="1"/>
  <c r="P17" i="2"/>
  <c r="K8" i="2"/>
  <c r="K5" i="2"/>
  <c r="O24" i="2"/>
  <c r="O8" i="2"/>
  <c r="J17" i="2"/>
  <c r="N9" i="2"/>
  <c r="N20" i="2" s="1"/>
  <c r="N17" i="2"/>
  <c r="O9" i="2" l="1"/>
  <c r="E7" i="2"/>
  <c r="E8" i="2" s="1"/>
  <c r="J20" i="2"/>
  <c r="M6" i="2"/>
  <c r="M8" i="2" s="1"/>
  <c r="I7" i="2"/>
  <c r="I8" i="2" s="1"/>
  <c r="M5" i="2"/>
  <c r="M17" i="2" s="1"/>
  <c r="E9" i="2"/>
  <c r="L10" i="2"/>
  <c r="M10" i="2" s="1"/>
  <c r="P26" i="2" s="1"/>
  <c r="X11" i="2"/>
  <c r="X13" i="2" s="1"/>
  <c r="L24" i="2"/>
  <c r="I3" i="2"/>
  <c r="M9" i="2"/>
  <c r="L5" i="2"/>
  <c r="L17" i="2" s="1"/>
  <c r="U20" i="2"/>
  <c r="U11" i="2"/>
  <c r="V20" i="2"/>
  <c r="V11" i="2"/>
  <c r="W20" i="2"/>
  <c r="W11" i="2"/>
  <c r="Y20" i="2"/>
  <c r="Y11" i="2"/>
  <c r="Z20" i="2"/>
  <c r="Z11" i="2"/>
  <c r="AA11" i="2"/>
  <c r="AA20" i="2"/>
  <c r="AB20" i="2"/>
  <c r="AB11" i="2"/>
  <c r="AC11" i="2"/>
  <c r="AC22" i="2"/>
  <c r="AC13" i="2"/>
  <c r="AD11" i="2"/>
  <c r="AD22" i="2" s="1"/>
  <c r="C9" i="2"/>
  <c r="C17" i="2"/>
  <c r="H5" i="2"/>
  <c r="H9" i="2" s="1"/>
  <c r="H24" i="2"/>
  <c r="G9" i="2"/>
  <c r="G17" i="2"/>
  <c r="D9" i="2"/>
  <c r="D17" i="2"/>
  <c r="B22" i="2"/>
  <c r="B13" i="2"/>
  <c r="F20" i="2"/>
  <c r="F22" i="2"/>
  <c r="F13" i="2"/>
  <c r="P20" i="2"/>
  <c r="P11" i="2"/>
  <c r="K17" i="2"/>
  <c r="K9" i="2"/>
  <c r="J22" i="2"/>
  <c r="J13" i="2"/>
  <c r="N11" i="2"/>
  <c r="N22" i="2" s="1"/>
  <c r="O20" i="2" l="1"/>
  <c r="O11" i="2"/>
  <c r="L9" i="2"/>
  <c r="S20" i="2"/>
  <c r="X22" i="2"/>
  <c r="M11" i="2"/>
  <c r="M20" i="2"/>
  <c r="E20" i="2"/>
  <c r="E11" i="2"/>
  <c r="I5" i="2"/>
  <c r="I17" i="2" s="1"/>
  <c r="I24" i="2"/>
  <c r="M24" i="2"/>
  <c r="U22" i="2"/>
  <c r="U13" i="2"/>
  <c r="V22" i="2"/>
  <c r="V13" i="2"/>
  <c r="W22" i="2"/>
  <c r="W13" i="2"/>
  <c r="X21" i="2"/>
  <c r="X14" i="2"/>
  <c r="Y22" i="2"/>
  <c r="Y13" i="2"/>
  <c r="Z22" i="2"/>
  <c r="Z13" i="2"/>
  <c r="AA22" i="2"/>
  <c r="AA13" i="2"/>
  <c r="AB22" i="2"/>
  <c r="AB13" i="2"/>
  <c r="AC21" i="2"/>
  <c r="AC14" i="2"/>
  <c r="AD13" i="2"/>
  <c r="AD14" i="2" s="1"/>
  <c r="C11" i="2"/>
  <c r="C20" i="2"/>
  <c r="H17" i="2"/>
  <c r="G20" i="2"/>
  <c r="G11" i="2"/>
  <c r="D20" i="2"/>
  <c r="D11" i="2"/>
  <c r="H11" i="2"/>
  <c r="H20" i="2"/>
  <c r="B21" i="2"/>
  <c r="B14" i="2"/>
  <c r="F21" i="2"/>
  <c r="F14" i="2"/>
  <c r="L20" i="2"/>
  <c r="L11" i="2"/>
  <c r="P13" i="2"/>
  <c r="P22" i="2"/>
  <c r="K20" i="2"/>
  <c r="K11" i="2"/>
  <c r="J21" i="2"/>
  <c r="J14" i="2"/>
  <c r="N13" i="2"/>
  <c r="N21" i="2" s="1"/>
  <c r="O22" i="2" l="1"/>
  <c r="O13" i="2"/>
  <c r="S22" i="2"/>
  <c r="I9" i="2"/>
  <c r="E13" i="2"/>
  <c r="E22" i="2"/>
  <c r="M13" i="2"/>
  <c r="M22" i="2"/>
  <c r="U21" i="2"/>
  <c r="U14" i="2"/>
  <c r="V21" i="2"/>
  <c r="V14" i="2"/>
  <c r="W21" i="2"/>
  <c r="W14" i="2"/>
  <c r="Y21" i="2"/>
  <c r="Y14" i="2"/>
  <c r="Z21" i="2"/>
  <c r="Z14" i="2"/>
  <c r="AA21" i="2"/>
  <c r="AA14" i="2"/>
  <c r="AB21" i="2"/>
  <c r="AB14" i="2"/>
  <c r="AD21" i="2"/>
  <c r="C13" i="2"/>
  <c r="C22" i="2"/>
  <c r="G22" i="2"/>
  <c r="G13" i="2"/>
  <c r="D13" i="2"/>
  <c r="D22" i="2"/>
  <c r="H13" i="2"/>
  <c r="H22" i="2"/>
  <c r="L13" i="2"/>
  <c r="L22" i="2"/>
  <c r="P21" i="2"/>
  <c r="P14" i="2"/>
  <c r="K13" i="2"/>
  <c r="K22" i="2"/>
  <c r="N14" i="2"/>
  <c r="O14" i="2" l="1"/>
  <c r="O21" i="2"/>
  <c r="M14" i="2"/>
  <c r="M21" i="2"/>
  <c r="E21" i="2"/>
  <c r="E14" i="2"/>
  <c r="I20" i="2"/>
  <c r="I11" i="2"/>
  <c r="C21" i="2"/>
  <c r="C14" i="2"/>
  <c r="G21" i="2"/>
  <c r="G14" i="2"/>
  <c r="D21" i="2"/>
  <c r="D14" i="2"/>
  <c r="H21" i="2"/>
  <c r="H14" i="2"/>
  <c r="L21" i="2"/>
  <c r="L14" i="2"/>
  <c r="K14" i="2"/>
  <c r="K21" i="2"/>
  <c r="I13" i="2" l="1"/>
  <c r="I22" i="2"/>
  <c r="I14" i="2" l="1"/>
  <c r="I21" i="2"/>
</calcChain>
</file>

<file path=xl/sharedStrings.xml><?xml version="1.0" encoding="utf-8"?>
<sst xmlns="http://schemas.openxmlformats.org/spreadsheetml/2006/main" count="67" uniqueCount="60">
  <si>
    <t>Revenue</t>
  </si>
  <si>
    <t>COGS</t>
  </si>
  <si>
    <t>Gross profit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</si>
  <si>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</si>
  <si>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</si>
  <si>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</si>
  <si>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</si>
  <si>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</si>
  <si>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</si>
  <si>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</si>
  <si>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</si>
  <si>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</si>
  <si>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</si>
  <si>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</si>
  <si>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</si>
  <si>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</si>
  <si>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</si>
  <si>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</si>
  <si>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</si>
  <si>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</si>
  <si>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</si>
  <si>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</si>
  <si>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</si>
  <si>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</si>
  <si>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</si>
  <si>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</si>
  <si>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</si>
  <si>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</si>
  <si>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</si>
  <si>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</si>
  <si>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</si>
  <si>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</si>
  <si>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</si>
  <si>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</si>
  <si>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</si>
  <si>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</si>
  <si>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</si>
  <si>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G&amp;A</t>
  </si>
  <si>
    <t>Sales</t>
  </si>
  <si>
    <t>IDR</t>
  </si>
  <si>
    <t>USD</t>
  </si>
  <si>
    <t>main</t>
  </si>
  <si>
    <t>USD/IDR</t>
  </si>
  <si>
    <t>Net cash</t>
  </si>
  <si>
    <t>Cash Yield</t>
  </si>
  <si>
    <t>ROIC</t>
  </si>
  <si>
    <t>Maturity</t>
  </si>
  <si>
    <t>Discount</t>
  </si>
  <si>
    <t>NPV</t>
  </si>
  <si>
    <t>Value</t>
  </si>
  <si>
    <t>Change</t>
  </si>
  <si>
    <t>Sales margin</t>
  </si>
  <si>
    <t>G&amp;A margin</t>
  </si>
  <si>
    <t>NI TTM</t>
  </si>
  <si>
    <t>Employees</t>
  </si>
  <si>
    <t>Local</t>
  </si>
  <si>
    <t>Export</t>
  </si>
  <si>
    <t>Retour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</si>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</sst>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5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2" fillId="0" borderId="0" xfId="1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0</xdr:rowOff>
    </xdr:from>
    <xdr:to>
      <xdr:col>16</xdr:col>
      <xdr:colOff>38100</xdr:colOff>
      <xdr:row>38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52A4CD4-1451-2288-8D38-9393BC745ABD}"/>
            </a:ext>
          </a:extLst>
        </xdr:cNvPr>
        <xdr:cNvCxnSpPr/>
      </xdr:nvCxnSpPr>
      <xdr:spPr>
        <a:xfrm>
          <a:off x="102965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19050</xdr:rowOff>
    </xdr:from>
    <xdr:to>
      <xdr:col>30</xdr:col>
      <xdr:colOff>19050</xdr:colOff>
      <xdr:row>38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1381E2A-77FE-4ED5-9919-C80390C090CE}"/>
            </a:ext>
          </a:extLst>
        </xdr:cNvPr>
        <xdr:cNvCxnSpPr/>
      </xdr:nvCxnSpPr>
      <xdr:spPr>
        <a:xfrm>
          <a:off x="19954875" y="1905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B312-2397-45E7-A5B7-100166ACF8BA}">
  <dimension ref="B1:XFD10"/>
  <sheetViews>
    <sheetView workbookViewId="0">
      <selection activeCell="F15" sqref="F15"/>
    </sheetView>
  </sheetViews>
  <sheetFormatPr defaultRowHeight="12.75" x14ac:dyDescent="0.2"/>
  <cols>
    <col min="1" max="1" width="2.42578125" customWidth="1"/>
    <col min="3" max="4" width="10.140625" bestFit="1" customWidth="1"/>
    <col min="11" max="11" width="10.140625" bestFit="1" customWidth="1"/>
    <col min="12" max="12" width="9.140625" customWidth="1"/>
  </cols>
  <sheetData>
    <row r="1" spans="2:13 16384:16384" x14ac:dyDescent="0.2">
      <c r="B1" t="s">
        <v>42</v>
      </c>
      <c r="C1" s="1">
        <v>16169</v>
      </c>
    </row>
    <row r="2" spans="2:13 16384:16384" x14ac:dyDescent="0.2">
      <c r="K2" s="10" t="s">
        <v>39</v>
      </c>
      <c r="L2" s="10" t="s">
        <v>40</v>
      </c>
    </row>
    <row r="3" spans="2:13 16384:16384" x14ac:dyDescent="0.2">
      <c r="C3">
        <v>2023</v>
      </c>
      <c r="D3">
        <v>2022</v>
      </c>
      <c r="E3" s="10" t="s">
        <v>58</v>
      </c>
      <c r="J3" t="s">
        <v>32</v>
      </c>
      <c r="K3" s="1">
        <v>2520</v>
      </c>
      <c r="L3" s="4">
        <f>+K3/C1</f>
        <v>0.15585379429773022</v>
      </c>
    </row>
    <row r="4" spans="2:13 16384:16384" x14ac:dyDescent="0.2">
      <c r="B4" t="s">
        <v>55</v>
      </c>
      <c r="C4" s="1">
        <v>17779971.747646999</v>
      </c>
      <c r="D4" s="1">
        <v>17801674.636367001</v>
      </c>
      <c r="E4" s="3">
        <f>+C4/C7</f>
        <v>0.56456298335838273</v>
      </c>
      <c r="J4" t="s">
        <v>10</v>
      </c>
      <c r="K4" s="1">
        <v>22358.699724999999</v>
      </c>
      <c r="L4" s="1">
        <v>22358.699724999999</v>
      </c>
      <c r="M4" s="10" t="s">
        <v>30</v>
      </c>
      <c r="XFD4" s="1"/>
    </row>
    <row r="5" spans="2:13 16384:16384" x14ac:dyDescent="0.2">
      <c r="B5" t="s">
        <v>56</v>
      </c>
      <c r="C5" s="1">
        <v>13713364.287032999</v>
      </c>
      <c r="D5" s="1">
        <v>12894327.65134</v>
      </c>
      <c r="E5" s="3">
        <f>+C5/C7</f>
        <v>0.43543701664161727</v>
      </c>
      <c r="J5" t="s">
        <v>33</v>
      </c>
      <c r="K5" s="1">
        <f>+K3*K4</f>
        <v>56343923.306999996</v>
      </c>
      <c r="L5" s="1">
        <f>+L3*L4</f>
        <v>3484.6881877048668</v>
      </c>
      <c r="M5" s="10"/>
    </row>
    <row r="6" spans="2:13 16384:16384" x14ac:dyDescent="0.2">
      <c r="B6" t="s">
        <v>57</v>
      </c>
      <c r="C6" s="1">
        <v>8327.8491549999999</v>
      </c>
      <c r="D6" s="1">
        <v>26596.320303</v>
      </c>
      <c r="J6" t="s">
        <v>34</v>
      </c>
      <c r="K6" s="1">
        <v>4527820.3270260002</v>
      </c>
      <c r="L6" s="1">
        <f>+K6/C1</f>
        <v>280.0309435973777</v>
      </c>
      <c r="M6" s="10" t="s">
        <v>30</v>
      </c>
    </row>
    <row r="7" spans="2:13 16384:16384" x14ac:dyDescent="0.2">
      <c r="B7" t="s">
        <v>59</v>
      </c>
      <c r="C7" s="1">
        <f>+SUM(C4:C5)</f>
        <v>31493336.034679998</v>
      </c>
      <c r="D7" s="1">
        <f>+SUM(D4:D5)</f>
        <v>30696002.287707001</v>
      </c>
      <c r="J7" t="s">
        <v>35</v>
      </c>
      <c r="K7" s="1">
        <f>3670000+685143.868068+294657.526917+2377765.715055+2033076.131588</f>
        <v>9060643.2416280005</v>
      </c>
      <c r="L7" s="1">
        <f>+K7/C1</f>
        <v>560.37128094674995</v>
      </c>
      <c r="M7" s="10" t="s">
        <v>30</v>
      </c>
    </row>
    <row r="8" spans="2:13 16384:16384" x14ac:dyDescent="0.2">
      <c r="C8" s="3"/>
      <c r="J8" t="s">
        <v>36</v>
      </c>
      <c r="K8" s="1">
        <f>+K5-K6+K7</f>
        <v>60876746.221601993</v>
      </c>
      <c r="L8" s="1">
        <f>+L5-L6+L7</f>
        <v>3765.0285250542393</v>
      </c>
    </row>
    <row r="9" spans="2:13 16384:16384" x14ac:dyDescent="0.2">
      <c r="C9" s="3"/>
      <c r="K9" s="1">
        <f>+Model!P33</f>
        <v>3214324.6100290017</v>
      </c>
    </row>
    <row r="10" spans="2:13 16384:16384" x14ac:dyDescent="0.2">
      <c r="K10" s="7">
        <f>+K8/K9</f>
        <v>18.939202976469986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F13D-FAE7-4DDE-8CD0-9F670DA58D68}">
  <dimension ref="A1:ER3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3" sqref="F33"/>
    </sheetView>
  </sheetViews>
  <sheetFormatPr defaultRowHeight="12.75" x14ac:dyDescent="0.2"/>
  <cols>
    <col min="1" max="1" width="16.7109375" style="1" bestFit="1" customWidth="1"/>
    <col min="2" max="2" width="9.140625" style="1"/>
    <col min="3" max="3" width="9.7109375" style="1" bestFit="1" customWidth="1"/>
    <col min="4" max="4" width="10.140625" style="1" bestFit="1" customWidth="1"/>
    <col min="5" max="6" width="9.140625" style="1"/>
    <col min="7" max="8" width="10.140625" style="1" bestFit="1" customWidth="1"/>
    <col min="9" max="11" width="9.140625" style="1"/>
    <col min="12" max="12" width="10.140625" style="1" bestFit="1" customWidth="1"/>
    <col min="13" max="13" width="9.140625" style="1"/>
    <col min="14" max="14" width="9.7109375" style="1" bestFit="1" customWidth="1"/>
    <col min="15" max="15" width="9.140625" style="1"/>
    <col min="16" max="16" width="10.140625" style="1" bestFit="1" customWidth="1"/>
    <col min="17" max="18" width="9.140625" style="1"/>
    <col min="19" max="19" width="10.140625" style="1" bestFit="1" customWidth="1"/>
    <col min="20" max="20" width="9.140625" style="1"/>
    <col min="21" max="42" width="10.140625" style="1" bestFit="1" customWidth="1"/>
    <col min="43" max="47" width="11.140625" style="1" bestFit="1" customWidth="1"/>
    <col min="48" max="49" width="10.140625" style="1" bestFit="1" customWidth="1"/>
    <col min="50" max="50" width="11.140625" style="1" bestFit="1" customWidth="1"/>
    <col min="51" max="74" width="10.140625" style="1" bestFit="1" customWidth="1"/>
    <col min="75" max="16384" width="9.140625" style="1"/>
  </cols>
  <sheetData>
    <row r="1" spans="1:148" s="8" customFormat="1" x14ac:dyDescent="0.2">
      <c r="A1" s="11" t="s">
        <v>41</v>
      </c>
      <c r="B1" s="8">
        <v>44286</v>
      </c>
      <c r="C1" s="8">
        <v>44377</v>
      </c>
      <c r="D1" s="8">
        <v>44469</v>
      </c>
      <c r="F1" s="8">
        <v>44651</v>
      </c>
      <c r="G1" s="8">
        <v>44742</v>
      </c>
      <c r="H1" s="8">
        <v>44834</v>
      </c>
      <c r="J1" s="8">
        <v>45016</v>
      </c>
      <c r="K1" s="8">
        <v>45107</v>
      </c>
      <c r="L1" s="8">
        <v>45199</v>
      </c>
      <c r="N1" s="8">
        <v>45382</v>
      </c>
      <c r="O1" s="8">
        <v>45473</v>
      </c>
      <c r="P1" s="8">
        <v>45565</v>
      </c>
    </row>
    <row r="2" spans="1:148" x14ac:dyDescent="0.2">
      <c r="A2" s="2"/>
      <c r="B2" s="2" t="s">
        <v>16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17</v>
      </c>
      <c r="H2" s="2" t="s">
        <v>18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/>
      <c r="S2" s="2"/>
      <c r="U2">
        <v>2014</v>
      </c>
      <c r="V2">
        <f>+U2+1</f>
        <v>2015</v>
      </c>
      <c r="W2">
        <f t="shared" ref="W2:AU2" si="0">+V2+1</f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</row>
    <row r="3" spans="1:148" s="6" customFormat="1" x14ac:dyDescent="0.2">
      <c r="A3" s="6" t="s">
        <v>0</v>
      </c>
      <c r="B3" s="6">
        <v>7335437.1886719996</v>
      </c>
      <c r="C3" s="6">
        <f>13153712.842781-B3</f>
        <v>5818275.6541090002</v>
      </c>
      <c r="D3" s="6">
        <f>19887755.100875-SUM(B3:C3)</f>
        <v>6734042.2580940016</v>
      </c>
      <c r="E3" s="6">
        <f>+AB3-SUM(B3:D3)</f>
        <v>8016803.2213080004</v>
      </c>
      <c r="F3" s="6">
        <v>7585925.0584699996</v>
      </c>
      <c r="G3" s="6">
        <f>14375444.103773-F3</f>
        <v>6789519.0453030001</v>
      </c>
      <c r="H3" s="6">
        <f>22229905.409089-SUM(F3:G3)</f>
        <v>7854461.3053159993</v>
      </c>
      <c r="I3" s="6">
        <f>+AC3-SUM(F3:H3)</f>
        <v>8439500.5583150014</v>
      </c>
      <c r="J3" s="6">
        <v>8452248.2846649997</v>
      </c>
      <c r="K3" s="6">
        <f>14819148.142306-J3</f>
        <v>6366899.8576410003</v>
      </c>
      <c r="L3" s="6">
        <f>22893654.121918-SUM(J3:K3)</f>
        <v>8074505.9796120003</v>
      </c>
      <c r="M3" s="6">
        <f>+AD3-SUM(J3:L3)</f>
        <v>8591354.0636069998</v>
      </c>
      <c r="N3" s="6">
        <v>8761157.2962740008</v>
      </c>
      <c r="O3" s="6">
        <f>16223279.530852-N3</f>
        <v>7462122.2345779985</v>
      </c>
      <c r="P3" s="6">
        <f>25639497.665384-SUM(N3:O3)</f>
        <v>9416218.134531999</v>
      </c>
      <c r="S3" s="12">
        <f>+(AD3/U3)^(1/$T$3)-1</f>
        <v>8.3119040348922812E-2</v>
      </c>
      <c r="T3" s="9">
        <v>10</v>
      </c>
      <c r="U3" s="6">
        <v>14169088.278238</v>
      </c>
      <c r="V3" s="6">
        <v>14818730.635847</v>
      </c>
      <c r="W3" s="6">
        <v>18349959.898357999</v>
      </c>
      <c r="X3" s="6">
        <v>20816673.946472999</v>
      </c>
      <c r="Y3" s="6">
        <v>24060802.395725001</v>
      </c>
      <c r="Z3" s="6">
        <v>25026739.472546998</v>
      </c>
      <c r="AA3" s="6">
        <v>24476953.742651001</v>
      </c>
      <c r="AB3" s="6">
        <v>27904558.322183002</v>
      </c>
      <c r="AC3" s="6">
        <v>30669405.967404</v>
      </c>
      <c r="AD3" s="6">
        <v>31485008.185525</v>
      </c>
      <c r="AE3" s="6">
        <f>+AD3*1.08</f>
        <v>34003808.840367004</v>
      </c>
      <c r="AF3" s="6">
        <f t="shared" ref="AF3:AU3" si="1">+AE3*1.08</f>
        <v>36724113.547596365</v>
      </c>
      <c r="AG3" s="6">
        <f t="shared" si="1"/>
        <v>39662042.631404079</v>
      </c>
      <c r="AH3" s="6">
        <f t="shared" si="1"/>
        <v>42835006.041916408</v>
      </c>
      <c r="AI3" s="6">
        <f t="shared" si="1"/>
        <v>46261806.525269724</v>
      </c>
      <c r="AJ3" s="6">
        <f t="shared" si="1"/>
        <v>49962751.047291309</v>
      </c>
      <c r="AK3" s="6">
        <f t="shared" si="1"/>
        <v>53959771.131074615</v>
      </c>
      <c r="AL3" s="6">
        <f t="shared" si="1"/>
        <v>58276552.821560591</v>
      </c>
      <c r="AM3" s="6">
        <f t="shared" si="1"/>
        <v>62938677.047285445</v>
      </c>
      <c r="AN3" s="6">
        <f t="shared" si="1"/>
        <v>67973771.211068287</v>
      </c>
      <c r="AO3" s="6">
        <f t="shared" si="1"/>
        <v>73411672.907953754</v>
      </c>
      <c r="AP3" s="6">
        <f t="shared" si="1"/>
        <v>79284606.740590066</v>
      </c>
      <c r="AQ3" s="6">
        <f t="shared" si="1"/>
        <v>85627375.279837281</v>
      </c>
      <c r="AR3" s="6">
        <f t="shared" si="1"/>
        <v>92477565.302224264</v>
      </c>
      <c r="AS3" s="6">
        <f t="shared" si="1"/>
        <v>99875770.526402205</v>
      </c>
      <c r="AT3" s="6">
        <f t="shared" si="1"/>
        <v>107865832.16851439</v>
      </c>
      <c r="AU3" s="6">
        <f t="shared" si="1"/>
        <v>116495098.74199554</v>
      </c>
    </row>
    <row r="4" spans="1:148" x14ac:dyDescent="0.2">
      <c r="A4" s="1" t="s">
        <v>1</v>
      </c>
      <c r="B4" s="1">
        <v>5160686.6377149997</v>
      </c>
      <c r="C4" s="1">
        <f>9560903.604511-B4</f>
        <v>4400216.9667960005</v>
      </c>
      <c r="D4" s="1">
        <f>14801450.239312-SUM(B4:C4)</f>
        <v>5240546.6348010004</v>
      </c>
      <c r="E4" s="1">
        <f>+AB4-SUM(B4:D4)</f>
        <v>6180124.574467998</v>
      </c>
      <c r="F4" s="1">
        <v>5933736.4127869997</v>
      </c>
      <c r="G4" s="1">
        <f>11392386.686821-F4</f>
        <v>5458650.2740340009</v>
      </c>
      <c r="H4" s="1">
        <f>17483166.267353-SUM(F4:G4)</f>
        <v>6090779.5805319976</v>
      </c>
      <c r="I4" s="1">
        <f>+AC4-SUM(F4:H4)</f>
        <v>6346816.3611270003</v>
      </c>
      <c r="J4" s="1">
        <v>6136672.7394479997</v>
      </c>
      <c r="K4" s="1">
        <f>10877086.873237-J4</f>
        <v>4740414.133789001</v>
      </c>
      <c r="L4" s="1">
        <f>16781682.446283-SUM(J4:K4)</f>
        <v>5904595.5730460007</v>
      </c>
      <c r="M4" s="1">
        <f>+AD4-SUM(J4:L4)</f>
        <v>6295547.9805589989</v>
      </c>
      <c r="N4" s="1">
        <v>6326437.670926</v>
      </c>
      <c r="O4" s="1">
        <f>12033107.665137-N4</f>
        <v>5706669.9942110004</v>
      </c>
      <c r="P4" s="1">
        <f>19522878.798789-SUM(N4:O4)</f>
        <v>7489771.1336519979</v>
      </c>
      <c r="S4" s="12">
        <f>+(AD4/U4)^(1/$T$3)-1</f>
        <v>7.0892744395217644E-2</v>
      </c>
      <c r="U4" s="1">
        <v>11633862.46947</v>
      </c>
      <c r="V4" s="1">
        <v>10620394.51584</v>
      </c>
      <c r="W4" s="1">
        <v>13449537.442446001</v>
      </c>
      <c r="X4" s="1">
        <v>15841619.191077</v>
      </c>
      <c r="Y4" s="1">
        <v>17664148.865077998</v>
      </c>
      <c r="Z4" s="1">
        <v>17109498.526032001</v>
      </c>
      <c r="AA4" s="1">
        <v>17177830.782965999</v>
      </c>
      <c r="AB4" s="1">
        <v>20981574.813779999</v>
      </c>
      <c r="AC4" s="1">
        <v>23829982.628479999</v>
      </c>
      <c r="AD4" s="1">
        <v>23077230.426842</v>
      </c>
      <c r="AE4" s="1">
        <f>+AD4*1.071</f>
        <v>24715713.787147783</v>
      </c>
      <c r="AF4" s="1">
        <f t="shared" ref="AF4:AU4" si="2">+AE4*1.071</f>
        <v>26470529.466035273</v>
      </c>
      <c r="AG4" s="1">
        <f t="shared" si="2"/>
        <v>28349937.058123775</v>
      </c>
      <c r="AH4" s="1">
        <f t="shared" si="2"/>
        <v>30362782.589250561</v>
      </c>
      <c r="AI4" s="1">
        <f t="shared" si="2"/>
        <v>32518540.153087348</v>
      </c>
      <c r="AJ4" s="1">
        <f t="shared" si="2"/>
        <v>34827356.503956549</v>
      </c>
      <c r="AK4" s="1">
        <f t="shared" si="2"/>
        <v>37300098.815737464</v>
      </c>
      <c r="AL4" s="1">
        <f t="shared" si="2"/>
        <v>39948405.831654824</v>
      </c>
      <c r="AM4" s="1">
        <f t="shared" si="2"/>
        <v>42784742.645702317</v>
      </c>
      <c r="AN4" s="1">
        <f t="shared" si="2"/>
        <v>45822459.373547181</v>
      </c>
      <c r="AO4" s="1">
        <f t="shared" si="2"/>
        <v>49075853.98906903</v>
      </c>
      <c r="AP4" s="1">
        <f t="shared" si="2"/>
        <v>52560239.622292928</v>
      </c>
      <c r="AQ4" s="1">
        <f t="shared" si="2"/>
        <v>56292016.635475725</v>
      </c>
      <c r="AR4" s="1">
        <f t="shared" si="2"/>
        <v>60288749.816594496</v>
      </c>
      <c r="AS4" s="1">
        <f t="shared" si="2"/>
        <v>64569251.053572699</v>
      </c>
      <c r="AT4" s="1">
        <f t="shared" si="2"/>
        <v>69153667.878376365</v>
      </c>
      <c r="AU4" s="1">
        <f t="shared" si="2"/>
        <v>74063578.297741085</v>
      </c>
    </row>
    <row r="5" spans="1:148" x14ac:dyDescent="0.2">
      <c r="A5" s="1" t="s">
        <v>2</v>
      </c>
      <c r="B5" s="1">
        <f t="shared" ref="B5:P5" si="3">+B3-B4</f>
        <v>2174750.5509569999</v>
      </c>
      <c r="C5" s="1">
        <f t="shared" si="3"/>
        <v>1418058.6873129997</v>
      </c>
      <c r="D5" s="1">
        <f t="shared" si="3"/>
        <v>1493495.6232930012</v>
      </c>
      <c r="E5" s="1">
        <f t="shared" si="3"/>
        <v>1836678.6468400024</v>
      </c>
      <c r="F5" s="1">
        <f t="shared" si="3"/>
        <v>1652188.6456829999</v>
      </c>
      <c r="G5" s="1">
        <f t="shared" si="3"/>
        <v>1330868.7712689992</v>
      </c>
      <c r="H5" s="1">
        <f t="shared" si="3"/>
        <v>1763681.7247840017</v>
      </c>
      <c r="I5" s="1">
        <f t="shared" si="3"/>
        <v>2092684.1971880011</v>
      </c>
      <c r="J5" s="1">
        <f t="shared" si="3"/>
        <v>2315575.5452169999</v>
      </c>
      <c r="K5" s="1">
        <f t="shared" si="3"/>
        <v>1626485.7238519993</v>
      </c>
      <c r="L5" s="1">
        <f t="shared" si="3"/>
        <v>2169910.4065659996</v>
      </c>
      <c r="M5" s="1">
        <f t="shared" si="3"/>
        <v>2295806.0830480009</v>
      </c>
      <c r="N5" s="1">
        <f t="shared" si="3"/>
        <v>2434719.6253480008</v>
      </c>
      <c r="O5" s="1">
        <f t="shared" si="3"/>
        <v>1755452.2403669981</v>
      </c>
      <c r="P5" s="1">
        <f t="shared" si="3"/>
        <v>1926447.0008800011</v>
      </c>
      <c r="U5" s="1">
        <f t="shared" ref="U5:AE5" si="4">+U3-U4</f>
        <v>2535225.8087680005</v>
      </c>
      <c r="V5" s="1">
        <f t="shared" si="4"/>
        <v>4198336.1200070009</v>
      </c>
      <c r="W5" s="1">
        <f t="shared" si="4"/>
        <v>4900422.4559119977</v>
      </c>
      <c r="X5" s="1">
        <f t="shared" si="4"/>
        <v>4975054.7553959992</v>
      </c>
      <c r="Y5" s="1">
        <f t="shared" si="4"/>
        <v>6396653.5306470022</v>
      </c>
      <c r="Z5" s="1">
        <f t="shared" si="4"/>
        <v>7917240.9465149976</v>
      </c>
      <c r="AA5" s="1">
        <f t="shared" si="4"/>
        <v>7299122.9596850015</v>
      </c>
      <c r="AB5" s="1">
        <f t="shared" si="4"/>
        <v>6922983.5084030032</v>
      </c>
      <c r="AC5" s="1">
        <f t="shared" si="4"/>
        <v>6839423.3389240019</v>
      </c>
      <c r="AD5" s="1">
        <f t="shared" si="4"/>
        <v>8407777.7586829998</v>
      </c>
      <c r="AE5" s="1">
        <f t="shared" si="4"/>
        <v>9288095.0532192215</v>
      </c>
      <c r="AF5" s="1">
        <f t="shared" ref="AF5:AU5" si="5">+AF3-AF4</f>
        <v>10253584.081561092</v>
      </c>
      <c r="AG5" s="1">
        <f t="shared" si="5"/>
        <v>11312105.573280305</v>
      </c>
      <c r="AH5" s="1">
        <f t="shared" si="5"/>
        <v>12472223.452665847</v>
      </c>
      <c r="AI5" s="1">
        <f t="shared" si="5"/>
        <v>13743266.372182377</v>
      </c>
      <c r="AJ5" s="1">
        <f t="shared" si="5"/>
        <v>15135394.54333476</v>
      </c>
      <c r="AK5" s="1">
        <f t="shared" si="5"/>
        <v>16659672.315337151</v>
      </c>
      <c r="AL5" s="1">
        <f t="shared" si="5"/>
        <v>18328146.989905767</v>
      </c>
      <c r="AM5" s="1">
        <f t="shared" si="5"/>
        <v>20153934.401583128</v>
      </c>
      <c r="AN5" s="1">
        <f t="shared" si="5"/>
        <v>22151311.837521106</v>
      </c>
      <c r="AO5" s="1">
        <f t="shared" si="5"/>
        <v>24335818.918884724</v>
      </c>
      <c r="AP5" s="1">
        <f t="shared" si="5"/>
        <v>26724367.118297137</v>
      </c>
      <c r="AQ5" s="1">
        <f t="shared" si="5"/>
        <v>29335358.644361556</v>
      </c>
      <c r="AR5" s="1">
        <f t="shared" si="5"/>
        <v>32188815.485629767</v>
      </c>
      <c r="AS5" s="1">
        <f t="shared" si="5"/>
        <v>35306519.472829506</v>
      </c>
      <c r="AT5" s="1">
        <f t="shared" si="5"/>
        <v>38712164.290138021</v>
      </c>
      <c r="AU5" s="1">
        <f t="shared" si="5"/>
        <v>42431520.444254458</v>
      </c>
    </row>
    <row r="6" spans="1:148" x14ac:dyDescent="0.2">
      <c r="A6" s="1" t="s">
        <v>38</v>
      </c>
      <c r="B6" s="1">
        <v>985548.75458800001</v>
      </c>
      <c r="C6" s="1">
        <f>1959418.759897-B6</f>
        <v>973870.00530899991</v>
      </c>
      <c r="D6" s="1">
        <f>3070834.043204-SUM(B6:C6)</f>
        <v>1111415.2833070003</v>
      </c>
      <c r="E6" s="1">
        <f t="shared" ref="E6:E7" si="6">+AB6-SUM(B6:D6)</f>
        <v>1458612.9637989998</v>
      </c>
      <c r="F6" s="1">
        <v>1031168.887858</v>
      </c>
      <c r="G6" s="1">
        <f>1784933.853875-F6</f>
        <v>753764.96601700003</v>
      </c>
      <c r="H6" s="1">
        <f>2765738.508605-SUM(F6:G6)</f>
        <v>980804.65473000007</v>
      </c>
      <c r="I6" s="1">
        <f t="shared" ref="I6:I7" si="7">+AC6-SUM(F6:H6)</f>
        <v>942834.84944600007</v>
      </c>
      <c r="J6" s="1">
        <v>972788.77499399998</v>
      </c>
      <c r="K6" s="1">
        <f>1822380.760787-J6</f>
        <v>849591.98579299997</v>
      </c>
      <c r="L6" s="1">
        <f>2750011.443611-SUM(J6:K6)</f>
        <v>927630.68282400025</v>
      </c>
      <c r="M6" s="1">
        <f t="shared" ref="M6:M7" si="8">+AD6-SUM(J6:L6)</f>
        <v>607789.15269599995</v>
      </c>
      <c r="N6" s="1">
        <v>912781.93190199998</v>
      </c>
      <c r="O6" s="1">
        <f>1763994.652877-N6</f>
        <v>851212.72097499995</v>
      </c>
      <c r="P6" s="1">
        <f>2722768.612173-SUM(N6:O6)</f>
        <v>958773.95929599996</v>
      </c>
      <c r="S6" s="12">
        <f>+(AD6/U6)^(1/$T$3)-1</f>
        <v>0.10090704491046454</v>
      </c>
      <c r="U6" s="1">
        <v>1283950.8326270001</v>
      </c>
      <c r="V6" s="1">
        <v>1876101.7456070001</v>
      </c>
      <c r="W6" s="1">
        <v>2078013.7916570001</v>
      </c>
      <c r="X6" s="1">
        <v>1909487.278891</v>
      </c>
      <c r="Y6" s="1">
        <v>3045558.3420819999</v>
      </c>
      <c r="Z6" s="1">
        <v>4027966.8334849998</v>
      </c>
      <c r="AA6" s="1">
        <v>3769234.915945</v>
      </c>
      <c r="AB6" s="1">
        <v>4529447.007003</v>
      </c>
      <c r="AC6" s="1">
        <v>3708573.3580510002</v>
      </c>
      <c r="AD6" s="1">
        <v>3357800.5963070001</v>
      </c>
      <c r="AE6" s="1">
        <f>+AE3*0.12</f>
        <v>4080457.0608440405</v>
      </c>
      <c r="AF6" s="1">
        <f t="shared" ref="AF6:AU6" si="9">+AF3*0.12</f>
        <v>4406893.625711564</v>
      </c>
      <c r="AG6" s="1">
        <f t="shared" si="9"/>
        <v>4759445.1157684894</v>
      </c>
      <c r="AH6" s="1">
        <f t="shared" si="9"/>
        <v>5140200.7250299687</v>
      </c>
      <c r="AI6" s="1">
        <f t="shared" si="9"/>
        <v>5551416.783032367</v>
      </c>
      <c r="AJ6" s="1">
        <f t="shared" si="9"/>
        <v>5995530.1256749565</v>
      </c>
      <c r="AK6" s="1">
        <f t="shared" si="9"/>
        <v>6475172.5357289538</v>
      </c>
      <c r="AL6" s="1">
        <f t="shared" si="9"/>
        <v>6993186.338587271</v>
      </c>
      <c r="AM6" s="1">
        <f t="shared" si="9"/>
        <v>7552641.2456742534</v>
      </c>
      <c r="AN6" s="1">
        <f t="shared" si="9"/>
        <v>8156852.5453281943</v>
      </c>
      <c r="AO6" s="1">
        <f t="shared" si="9"/>
        <v>8809400.7489544507</v>
      </c>
      <c r="AP6" s="1">
        <f t="shared" si="9"/>
        <v>9514152.8088708073</v>
      </c>
      <c r="AQ6" s="1">
        <f t="shared" si="9"/>
        <v>10275285.033580473</v>
      </c>
      <c r="AR6" s="1">
        <f t="shared" si="9"/>
        <v>11097307.836266911</v>
      </c>
      <c r="AS6" s="1">
        <f t="shared" si="9"/>
        <v>11985092.463168263</v>
      </c>
      <c r="AT6" s="1">
        <f t="shared" si="9"/>
        <v>12943899.860221725</v>
      </c>
      <c r="AU6" s="1">
        <f t="shared" si="9"/>
        <v>13979411.849039465</v>
      </c>
    </row>
    <row r="7" spans="1:148" x14ac:dyDescent="0.2">
      <c r="A7" s="1" t="s">
        <v>37</v>
      </c>
      <c r="B7" s="1">
        <v>193068.25425100001</v>
      </c>
      <c r="C7" s="1">
        <f>387604.198062-B7</f>
        <v>194535.94381099998</v>
      </c>
      <c r="D7" s="1">
        <f>573506.789713-SUM(B7:C7)</f>
        <v>185902.59165099997</v>
      </c>
      <c r="E7" s="1">
        <f t="shared" si="6"/>
        <v>37713.797531999997</v>
      </c>
      <c r="F7" s="1">
        <v>179484.110824</v>
      </c>
      <c r="G7" s="1">
        <f>334114.610879-F7</f>
        <v>154630.50005499998</v>
      </c>
      <c r="H7" s="1">
        <f>515138.993081-SUM(F7:G7)</f>
        <v>181024.38220200001</v>
      </c>
      <c r="I7" s="1">
        <f t="shared" si="7"/>
        <v>182596.34609099996</v>
      </c>
      <c r="J7" s="1">
        <v>190398.33558700001</v>
      </c>
      <c r="K7" s="1">
        <f>380875.637573-J7</f>
        <v>190477.30198599998</v>
      </c>
      <c r="L7" s="1">
        <f>567193.689826-SUM(J7:K7)</f>
        <v>186318.05225300003</v>
      </c>
      <c r="M7" s="1">
        <f t="shared" si="8"/>
        <v>183308.12534999999</v>
      </c>
      <c r="N7" s="1">
        <v>208424.61777400001</v>
      </c>
      <c r="O7" s="1">
        <f>417848.245368-N7</f>
        <v>209423.62759399999</v>
      </c>
      <c r="P7" s="1">
        <f>659101.679462-SUM(N7:O7)</f>
        <v>241253.43409400003</v>
      </c>
      <c r="S7" s="12">
        <f>+(AD7/U7)^(1/$T$3)-1</f>
        <v>7.610680539399528E-2</v>
      </c>
      <c r="U7" s="1">
        <v>360410.94214</v>
      </c>
      <c r="V7" s="1">
        <v>459613.54141300003</v>
      </c>
      <c r="W7" s="1">
        <v>507166.42138800002</v>
      </c>
      <c r="X7" s="1">
        <v>605008.08845499996</v>
      </c>
      <c r="Y7" s="1">
        <v>723203.180559</v>
      </c>
      <c r="Z7" s="1">
        <v>716989.561996</v>
      </c>
      <c r="AA7" s="1">
        <v>698959.84958499996</v>
      </c>
      <c r="AB7" s="1">
        <v>611220.58724499994</v>
      </c>
      <c r="AC7" s="1">
        <v>697735.33917199995</v>
      </c>
      <c r="AD7" s="1">
        <v>750501.815176</v>
      </c>
      <c r="AE7" s="1">
        <f>+AE3*0.02</f>
        <v>680076.17680734012</v>
      </c>
      <c r="AF7" s="1">
        <f t="shared" ref="AF7:AU7" si="10">+AF3*0.02</f>
        <v>734482.27095192729</v>
      </c>
      <c r="AG7" s="1">
        <f t="shared" si="10"/>
        <v>793240.85262808157</v>
      </c>
      <c r="AH7" s="1">
        <f t="shared" si="10"/>
        <v>856700.12083832815</v>
      </c>
      <c r="AI7" s="1">
        <f t="shared" si="10"/>
        <v>925236.13050539454</v>
      </c>
      <c r="AJ7" s="1">
        <f t="shared" si="10"/>
        <v>999255.0209458262</v>
      </c>
      <c r="AK7" s="1">
        <f t="shared" si="10"/>
        <v>1079195.4226214923</v>
      </c>
      <c r="AL7" s="1">
        <f t="shared" si="10"/>
        <v>1165531.0564312118</v>
      </c>
      <c r="AM7" s="1">
        <f t="shared" si="10"/>
        <v>1258773.540945709</v>
      </c>
      <c r="AN7" s="1">
        <f t="shared" si="10"/>
        <v>1359475.4242213657</v>
      </c>
      <c r="AO7" s="1">
        <f t="shared" si="10"/>
        <v>1468233.4581590751</v>
      </c>
      <c r="AP7" s="1">
        <f t="shared" si="10"/>
        <v>1585692.1348118014</v>
      </c>
      <c r="AQ7" s="1">
        <f t="shared" si="10"/>
        <v>1712547.5055967458</v>
      </c>
      <c r="AR7" s="1">
        <f t="shared" si="10"/>
        <v>1849551.3060444854</v>
      </c>
      <c r="AS7" s="1">
        <f t="shared" si="10"/>
        <v>1997515.4105280442</v>
      </c>
      <c r="AT7" s="1">
        <f t="shared" si="10"/>
        <v>2157316.643370288</v>
      </c>
      <c r="AU7" s="1">
        <f t="shared" si="10"/>
        <v>2329901.9748399109</v>
      </c>
    </row>
    <row r="8" spans="1:148" x14ac:dyDescent="0.2">
      <c r="A8" s="1" t="s">
        <v>3</v>
      </c>
      <c r="B8" s="1">
        <f t="shared" ref="B8:P8" si="11">+SUM(B6:B7)</f>
        <v>1178617.008839</v>
      </c>
      <c r="C8" s="1">
        <f t="shared" si="11"/>
        <v>1168405.94912</v>
      </c>
      <c r="D8" s="1">
        <f t="shared" si="11"/>
        <v>1297317.8749580001</v>
      </c>
      <c r="E8" s="1">
        <f t="shared" si="11"/>
        <v>1496326.7613309999</v>
      </c>
      <c r="F8" s="1">
        <f t="shared" si="11"/>
        <v>1210652.998682</v>
      </c>
      <c r="G8" s="1">
        <f t="shared" si="11"/>
        <v>908395.46607199998</v>
      </c>
      <c r="H8" s="1">
        <f t="shared" si="11"/>
        <v>1161829.036932</v>
      </c>
      <c r="I8" s="1">
        <f t="shared" si="11"/>
        <v>1125431.195537</v>
      </c>
      <c r="J8" s="1">
        <f t="shared" si="11"/>
        <v>1163187.1105809999</v>
      </c>
      <c r="K8" s="1">
        <f t="shared" si="11"/>
        <v>1040069.2877789999</v>
      </c>
      <c r="L8" s="1">
        <f t="shared" si="11"/>
        <v>1113948.7350770002</v>
      </c>
      <c r="M8" s="1">
        <f t="shared" si="11"/>
        <v>791097.27804599993</v>
      </c>
      <c r="N8" s="1">
        <f t="shared" si="11"/>
        <v>1121206.5496759999</v>
      </c>
      <c r="O8" s="1">
        <f t="shared" si="11"/>
        <v>1060636.3485689999</v>
      </c>
      <c r="P8" s="1">
        <f t="shared" si="11"/>
        <v>1200027.3933899999</v>
      </c>
      <c r="U8" s="1">
        <f t="shared" ref="U8:AD8" si="12">+SUM(U6:U7)</f>
        <v>1644361.774767</v>
      </c>
      <c r="V8" s="1">
        <f t="shared" si="12"/>
        <v>2335715.2870200002</v>
      </c>
      <c r="W8" s="1">
        <f t="shared" si="12"/>
        <v>2585180.2130450001</v>
      </c>
      <c r="X8" s="1">
        <f t="shared" si="12"/>
        <v>2514495.3673459999</v>
      </c>
      <c r="Y8" s="1">
        <f t="shared" si="12"/>
        <v>3768761.5226409999</v>
      </c>
      <c r="Z8" s="1">
        <f t="shared" si="12"/>
        <v>4744956.3954809997</v>
      </c>
      <c r="AA8" s="1">
        <f t="shared" si="12"/>
        <v>4468194.7655299995</v>
      </c>
      <c r="AB8" s="1">
        <f t="shared" si="12"/>
        <v>5140667.5942479996</v>
      </c>
      <c r="AC8" s="1">
        <f t="shared" si="12"/>
        <v>4406308.6972230002</v>
      </c>
      <c r="AD8" s="1">
        <f t="shared" si="12"/>
        <v>4108302.411483</v>
      </c>
      <c r="AE8" s="1">
        <f t="shared" ref="AE8:AU8" si="13">+SUM(AE6:AE7)</f>
        <v>4760533.2376513807</v>
      </c>
      <c r="AF8" s="1">
        <f t="shared" si="13"/>
        <v>5141375.8966634916</v>
      </c>
      <c r="AG8" s="1">
        <f t="shared" si="13"/>
        <v>5552685.9683965705</v>
      </c>
      <c r="AH8" s="1">
        <f t="shared" si="13"/>
        <v>5996900.8458682969</v>
      </c>
      <c r="AI8" s="1">
        <f t="shared" si="13"/>
        <v>6476652.9135377612</v>
      </c>
      <c r="AJ8" s="1">
        <f t="shared" si="13"/>
        <v>6994785.146620783</v>
      </c>
      <c r="AK8" s="1">
        <f t="shared" si="13"/>
        <v>7554367.9583504461</v>
      </c>
      <c r="AL8" s="1">
        <f t="shared" si="13"/>
        <v>8158717.3950184826</v>
      </c>
      <c r="AM8" s="1">
        <f t="shared" si="13"/>
        <v>8811414.7866199631</v>
      </c>
      <c r="AN8" s="1">
        <f t="shared" si="13"/>
        <v>9516327.9695495591</v>
      </c>
      <c r="AO8" s="1">
        <f t="shared" si="13"/>
        <v>10277634.207113527</v>
      </c>
      <c r="AP8" s="1">
        <f t="shared" si="13"/>
        <v>11099844.943682609</v>
      </c>
      <c r="AQ8" s="1">
        <f t="shared" si="13"/>
        <v>11987832.539177218</v>
      </c>
      <c r="AR8" s="1">
        <f t="shared" si="13"/>
        <v>12946859.142311396</v>
      </c>
      <c r="AS8" s="1">
        <f t="shared" si="13"/>
        <v>13982607.873696309</v>
      </c>
      <c r="AT8" s="1">
        <f t="shared" si="13"/>
        <v>15101216.503592012</v>
      </c>
      <c r="AU8" s="1">
        <f t="shared" si="13"/>
        <v>16309313.823879376</v>
      </c>
    </row>
    <row r="9" spans="1:148" x14ac:dyDescent="0.2">
      <c r="A9" s="1" t="s">
        <v>4</v>
      </c>
      <c r="B9" s="1">
        <f t="shared" ref="B9:P9" si="14">+B5-B8</f>
        <v>996133.54211799987</v>
      </c>
      <c r="C9" s="1">
        <f t="shared" si="14"/>
        <v>249652.73819299974</v>
      </c>
      <c r="D9" s="1">
        <f t="shared" si="14"/>
        <v>196177.74833500106</v>
      </c>
      <c r="E9" s="1">
        <f t="shared" si="14"/>
        <v>340351.88550900249</v>
      </c>
      <c r="F9" s="1">
        <f t="shared" si="14"/>
        <v>441535.64700099989</v>
      </c>
      <c r="G9" s="1">
        <f t="shared" si="14"/>
        <v>422473.30519699922</v>
      </c>
      <c r="H9" s="1">
        <f t="shared" si="14"/>
        <v>601852.68785200175</v>
      </c>
      <c r="I9" s="1">
        <f t="shared" si="14"/>
        <v>967253.00165100116</v>
      </c>
      <c r="J9" s="1">
        <f t="shared" si="14"/>
        <v>1152388.4346360001</v>
      </c>
      <c r="K9" s="1">
        <f t="shared" si="14"/>
        <v>586416.43607299938</v>
      </c>
      <c r="L9" s="1">
        <f t="shared" si="14"/>
        <v>1055961.6714889994</v>
      </c>
      <c r="M9" s="1">
        <f t="shared" si="14"/>
        <v>1504708.8050020011</v>
      </c>
      <c r="N9" s="1">
        <f t="shared" si="14"/>
        <v>1313513.0756720009</v>
      </c>
      <c r="O9" s="1">
        <f t="shared" si="14"/>
        <v>694815.89179799822</v>
      </c>
      <c r="P9" s="1">
        <f t="shared" si="14"/>
        <v>726419.60749000125</v>
      </c>
      <c r="U9" s="1">
        <f t="shared" ref="U9:AD9" si="15">+U5-U8</f>
        <v>890864.03400100046</v>
      </c>
      <c r="V9" s="1">
        <f t="shared" si="15"/>
        <v>1862620.8329870007</v>
      </c>
      <c r="W9" s="1">
        <f t="shared" si="15"/>
        <v>2315242.2428669976</v>
      </c>
      <c r="X9" s="1">
        <f t="shared" si="15"/>
        <v>2460559.3880499993</v>
      </c>
      <c r="Y9" s="1">
        <f t="shared" si="15"/>
        <v>2627892.0080060023</v>
      </c>
      <c r="Z9" s="1">
        <f t="shared" si="15"/>
        <v>3172284.5510339979</v>
      </c>
      <c r="AA9" s="1">
        <f t="shared" si="15"/>
        <v>2830928.194155002</v>
      </c>
      <c r="AB9" s="1">
        <f t="shared" si="15"/>
        <v>1782315.9141550036</v>
      </c>
      <c r="AC9" s="1">
        <f t="shared" si="15"/>
        <v>2433114.6417010017</v>
      </c>
      <c r="AD9" s="1">
        <f t="shared" si="15"/>
        <v>4299475.3471999997</v>
      </c>
      <c r="AE9" s="1">
        <f t="shared" ref="AE9:AU9" si="16">+AE5-AE8</f>
        <v>4527561.8155678408</v>
      </c>
      <c r="AF9" s="1">
        <f t="shared" si="16"/>
        <v>5112208.1848976007</v>
      </c>
      <c r="AG9" s="1">
        <f t="shared" si="16"/>
        <v>5759419.6048837341</v>
      </c>
      <c r="AH9" s="1">
        <f t="shared" si="16"/>
        <v>6475322.6067975499</v>
      </c>
      <c r="AI9" s="1">
        <f t="shared" si="16"/>
        <v>7266613.4586446155</v>
      </c>
      <c r="AJ9" s="1">
        <f t="shared" si="16"/>
        <v>8140609.3967139767</v>
      </c>
      <c r="AK9" s="1">
        <f t="shared" si="16"/>
        <v>9105304.3569867052</v>
      </c>
      <c r="AL9" s="1">
        <f t="shared" si="16"/>
        <v>10169429.594887285</v>
      </c>
      <c r="AM9" s="1">
        <f t="shared" si="16"/>
        <v>11342519.614963165</v>
      </c>
      <c r="AN9" s="1">
        <f t="shared" si="16"/>
        <v>12634983.867971547</v>
      </c>
      <c r="AO9" s="1">
        <f t="shared" si="16"/>
        <v>14058184.711771198</v>
      </c>
      <c r="AP9" s="1">
        <f t="shared" si="16"/>
        <v>15624522.174614528</v>
      </c>
      <c r="AQ9" s="1">
        <f t="shared" si="16"/>
        <v>17347526.105184339</v>
      </c>
      <c r="AR9" s="1">
        <f t="shared" si="16"/>
        <v>19241956.343318373</v>
      </c>
      <c r="AS9" s="1">
        <f t="shared" si="16"/>
        <v>21323911.599133197</v>
      </c>
      <c r="AT9" s="1">
        <f t="shared" si="16"/>
        <v>23610947.786546007</v>
      </c>
      <c r="AU9" s="1">
        <f t="shared" si="16"/>
        <v>26122206.620375082</v>
      </c>
    </row>
    <row r="10" spans="1:148" x14ac:dyDescent="0.2">
      <c r="A10" s="1" t="s">
        <v>5</v>
      </c>
      <c r="B10" s="1">
        <f>6229.436663-80103.131489</f>
        <v>-73873.694826000006</v>
      </c>
      <c r="C10" s="1">
        <f>11642.918352-155683.178496-B10</f>
        <v>-70166.565317999994</v>
      </c>
      <c r="D10" s="1">
        <f>17983.810789-233511.108908-SUM(B10:C10)</f>
        <v>-71487.037974999985</v>
      </c>
      <c r="E10" s="1">
        <f>+AB10-SUM(B10:D10)</f>
        <v>-81820.758225000056</v>
      </c>
      <c r="F10" s="1">
        <f>6367.299369-72158.24177</f>
        <v>-65790.942400999993</v>
      </c>
      <c r="G10" s="1">
        <f>12105.281781-179872.486595-F10</f>
        <v>-101976.262413</v>
      </c>
      <c r="H10" s="1">
        <f>22411.655624-280684.284967-SUM(F10:G10)</f>
        <v>-90505.424529000011</v>
      </c>
      <c r="I10" s="1">
        <f>+AC10-SUM(F10:H10)</f>
        <v>-100201.78507300001</v>
      </c>
      <c r="J10" s="1">
        <f>19679.581658-90233.902187</f>
        <v>-70554.320529000004</v>
      </c>
      <c r="K10" s="1">
        <f>43921.354427-169348.797577-J10</f>
        <v>-54873.122620999988</v>
      </c>
      <c r="L10" s="1">
        <f>68908.148574-247000.431706-SUM(J10:K10)</f>
        <v>-52664.83998200002</v>
      </c>
      <c r="M10" s="1">
        <f t="shared" ref="M10:M12" si="17">+AD10-SUM(J10:L10)</f>
        <v>-39733.588397000014</v>
      </c>
      <c r="N10" s="1">
        <f>44106.681844-55137.964451</f>
        <v>-11031.282607000001</v>
      </c>
      <c r="O10" s="1">
        <f>87727.256726-109483.243392</f>
        <v>-21755.986665999997</v>
      </c>
      <c r="P10" s="1">
        <f>133115.771749-250794.615982-SUM(N10:O10)</f>
        <v>-84891.574959999984</v>
      </c>
      <c r="U10" s="1">
        <f>32657.875095-358432.961457</f>
        <v>-325775.08636199997</v>
      </c>
      <c r="V10" s="1">
        <f>16988.949052-378651.540837</f>
        <v>-361662.591785</v>
      </c>
      <c r="W10" s="1">
        <f>14887.762246-356714.077463</f>
        <v>-341826.31521700002</v>
      </c>
      <c r="X10" s="1">
        <f>36492.708776-386922.167017</f>
        <v>-350429.45824100001</v>
      </c>
      <c r="Y10" s="1">
        <f>46799.131766-492638.756739</f>
        <v>-445839.62497299997</v>
      </c>
      <c r="Z10" s="1">
        <f>52352.843077-355074.879758</f>
        <v>-302722.03668100003</v>
      </c>
      <c r="AA10" s="1">
        <f>51405.459416-353822.336007</f>
        <v>-302416.87659100001</v>
      </c>
      <c r="AB10" s="1">
        <f>23187.158296-320535.21464</f>
        <v>-297348.05634400004</v>
      </c>
      <c r="AC10" s="1">
        <f>30708.263481-389182.677897</f>
        <v>-358474.41441600001</v>
      </c>
      <c r="AD10" s="1">
        <f>84751.267929-302577.139458</f>
        <v>-217825.87152900003</v>
      </c>
      <c r="AE10" s="1">
        <f>+AD27*0.02</f>
        <v>-90656.458292040013</v>
      </c>
      <c r="AF10" s="1">
        <f t="shared" ref="AF10:AU10" si="18">+AE27*0.02</f>
        <v>-22328.11578999268</v>
      </c>
      <c r="AG10" s="1">
        <f t="shared" si="18"/>
        <v>56056.03727426449</v>
      </c>
      <c r="AH10" s="1">
        <f t="shared" si="18"/>
        <v>145614.36216349769</v>
      </c>
      <c r="AI10" s="1">
        <f t="shared" si="18"/>
        <v>247576.79148549782</v>
      </c>
      <c r="AJ10" s="1">
        <f t="shared" si="18"/>
        <v>363295.32133750158</v>
      </c>
      <c r="AK10" s="1">
        <f t="shared" si="18"/>
        <v>494255.45399549435</v>
      </c>
      <c r="AL10" s="1">
        <f t="shared" si="18"/>
        <v>642088.67508462025</v>
      </c>
      <c r="AM10" s="1">
        <f t="shared" si="18"/>
        <v>808586.05644218763</v>
      </c>
      <c r="AN10" s="1">
        <f t="shared" si="18"/>
        <v>995713.08378183004</v>
      </c>
      <c r="AO10" s="1">
        <f t="shared" si="18"/>
        <v>1205625.8168388321</v>
      </c>
      <c r="AP10" s="1">
        <f t="shared" si="18"/>
        <v>1440688.4989794267</v>
      </c>
      <c r="AQ10" s="1">
        <f t="shared" si="18"/>
        <v>1703492.7433527736</v>
      </c>
      <c r="AR10" s="1">
        <f t="shared" si="18"/>
        <v>1996878.433620245</v>
      </c>
      <c r="AS10" s="1">
        <f t="shared" si="18"/>
        <v>2323956.4891850995</v>
      </c>
      <c r="AT10" s="1">
        <f t="shared" si="18"/>
        <v>2688133.6577452016</v>
      </c>
      <c r="AU10" s="1">
        <f t="shared" si="18"/>
        <v>3093139.5119872862</v>
      </c>
    </row>
    <row r="11" spans="1:148" x14ac:dyDescent="0.2">
      <c r="A11" s="1" t="s">
        <v>6</v>
      </c>
      <c r="B11" s="1">
        <f t="shared" ref="B11:P11" si="19">+B9+B10</f>
        <v>922259.84729199985</v>
      </c>
      <c r="C11" s="1">
        <f t="shared" si="19"/>
        <v>179486.17287499976</v>
      </c>
      <c r="D11" s="1">
        <f t="shared" si="19"/>
        <v>124690.71036000107</v>
      </c>
      <c r="E11" s="1">
        <f t="shared" si="19"/>
        <v>258531.12728400243</v>
      </c>
      <c r="F11" s="1">
        <f t="shared" si="19"/>
        <v>375744.70459999988</v>
      </c>
      <c r="G11" s="1">
        <f t="shared" si="19"/>
        <v>320497.04278399923</v>
      </c>
      <c r="H11" s="1">
        <f t="shared" si="19"/>
        <v>511347.26332300174</v>
      </c>
      <c r="I11" s="1">
        <f t="shared" si="19"/>
        <v>867051.21657800116</v>
      </c>
      <c r="J11" s="1">
        <f t="shared" si="19"/>
        <v>1081834.1141070002</v>
      </c>
      <c r="K11" s="1">
        <f t="shared" si="19"/>
        <v>531543.31345199933</v>
      </c>
      <c r="L11" s="1">
        <f t="shared" si="19"/>
        <v>1003296.8315069993</v>
      </c>
      <c r="M11" s="1">
        <f t="shared" si="19"/>
        <v>1464975.2166050011</v>
      </c>
      <c r="N11" s="1">
        <f t="shared" si="19"/>
        <v>1302481.7930650008</v>
      </c>
      <c r="O11" s="1">
        <f t="shared" si="19"/>
        <v>673059.90513199824</v>
      </c>
      <c r="P11" s="1">
        <f t="shared" si="19"/>
        <v>641528.03253000125</v>
      </c>
      <c r="U11" s="1">
        <f t="shared" ref="U11:AE11" si="20">+U9+U10</f>
        <v>565088.94763900049</v>
      </c>
      <c r="V11" s="1">
        <f t="shared" si="20"/>
        <v>1500958.2412020008</v>
      </c>
      <c r="W11" s="1">
        <f t="shared" si="20"/>
        <v>1973415.9276499976</v>
      </c>
      <c r="X11" s="1">
        <f t="shared" si="20"/>
        <v>2110129.9298089994</v>
      </c>
      <c r="Y11" s="1">
        <f t="shared" si="20"/>
        <v>2182052.3830330023</v>
      </c>
      <c r="Z11" s="1">
        <f t="shared" si="20"/>
        <v>2869562.5143529978</v>
      </c>
      <c r="AA11" s="1">
        <f t="shared" si="20"/>
        <v>2528511.3175640022</v>
      </c>
      <c r="AB11" s="1">
        <f t="shared" si="20"/>
        <v>1484967.8578110035</v>
      </c>
      <c r="AC11" s="1">
        <f t="shared" si="20"/>
        <v>2074640.2272850017</v>
      </c>
      <c r="AD11" s="1">
        <f t="shared" si="20"/>
        <v>4081649.4756709998</v>
      </c>
      <c r="AE11" s="1">
        <f t="shared" si="20"/>
        <v>4436905.3572758008</v>
      </c>
      <c r="AF11" s="1">
        <f t="shared" ref="AF11:AU11" si="21">+AF9+AF10</f>
        <v>5089880.0691076079</v>
      </c>
      <c r="AG11" s="1">
        <f t="shared" si="21"/>
        <v>5815475.6421579989</v>
      </c>
      <c r="AH11" s="1">
        <f t="shared" si="21"/>
        <v>6620936.9689610479</v>
      </c>
      <c r="AI11" s="1">
        <f t="shared" si="21"/>
        <v>7514190.2501301132</v>
      </c>
      <c r="AJ11" s="1">
        <f t="shared" si="21"/>
        <v>8503904.7180514783</v>
      </c>
      <c r="AK11" s="1">
        <f t="shared" si="21"/>
        <v>9599559.8109821994</v>
      </c>
      <c r="AL11" s="1">
        <f t="shared" si="21"/>
        <v>10811518.269971905</v>
      </c>
      <c r="AM11" s="1">
        <f t="shared" si="21"/>
        <v>12151105.671405353</v>
      </c>
      <c r="AN11" s="1">
        <f t="shared" si="21"/>
        <v>13630696.951753378</v>
      </c>
      <c r="AO11" s="1">
        <f t="shared" si="21"/>
        <v>15263810.52861003</v>
      </c>
      <c r="AP11" s="1">
        <f t="shared" si="21"/>
        <v>17065210.673593953</v>
      </c>
      <c r="AQ11" s="1">
        <f t="shared" si="21"/>
        <v>19051018.848537114</v>
      </c>
      <c r="AR11" s="1">
        <f t="shared" si="21"/>
        <v>21238834.776938617</v>
      </c>
      <c r="AS11" s="1">
        <f t="shared" si="21"/>
        <v>23647868.088318296</v>
      </c>
      <c r="AT11" s="1">
        <f t="shared" si="21"/>
        <v>26299081.444291208</v>
      </c>
      <c r="AU11" s="1">
        <f t="shared" si="21"/>
        <v>29215346.132362369</v>
      </c>
    </row>
    <row r="12" spans="1:148" x14ac:dyDescent="0.2">
      <c r="A12" s="1" t="s">
        <v>7</v>
      </c>
      <c r="B12" s="1">
        <v>243661.975687</v>
      </c>
      <c r="C12" s="1">
        <f>281605.899308-B12</f>
        <v>37943.923620999994</v>
      </c>
      <c r="D12" s="1">
        <f>296966.177846-SUM(B12:C12)</f>
        <v>15360.278538000013</v>
      </c>
      <c r="E12" s="1">
        <f>+AB12-SUM(B12:D12)</f>
        <v>41629.730886999983</v>
      </c>
      <c r="F12" s="1">
        <v>89310.131124000007</v>
      </c>
      <c r="G12" s="1">
        <f>178559.975988-F12</f>
        <v>89249.844863999984</v>
      </c>
      <c r="H12" s="1">
        <f>296383.793781-SUM(F12:G12)</f>
        <v>117823.81779300002</v>
      </c>
      <c r="I12" s="1">
        <f>+AC12-SUM(F12:H12)</f>
        <v>239609.18600399996</v>
      </c>
      <c r="J12" s="1">
        <v>177764.45150900001</v>
      </c>
      <c r="K12" s="1">
        <f>286001.725276-J12</f>
        <v>108237.27376699998</v>
      </c>
      <c r="L12" s="1">
        <f>514001.192006-SUM(J12:K12)</f>
        <v>227999.46673000004</v>
      </c>
      <c r="M12" s="1">
        <f t="shared" si="17"/>
        <v>334842.54958499997</v>
      </c>
      <c r="N12" s="1">
        <v>276668.24095100001</v>
      </c>
      <c r="O12" s="1">
        <f>450150.333379-N12</f>
        <v>173482.092428</v>
      </c>
      <c r="P12" s="1">
        <f>532877.787718-SUM(N12:O12)</f>
        <v>82727.454338999989</v>
      </c>
      <c r="U12" s="1">
        <v>119649.01712999999</v>
      </c>
      <c r="V12" s="1">
        <v>390261.63724100002</v>
      </c>
      <c r="W12" s="1">
        <v>457007.141573</v>
      </c>
      <c r="X12" s="1">
        <v>555930.772581</v>
      </c>
      <c r="Y12" s="1">
        <v>621507.91855099995</v>
      </c>
      <c r="Z12" s="1">
        <v>665062.37424699997</v>
      </c>
      <c r="AA12" s="1">
        <v>585721.76529100002</v>
      </c>
      <c r="AB12" s="1">
        <v>338595.90873299999</v>
      </c>
      <c r="AC12" s="1">
        <v>535992.97978499997</v>
      </c>
      <c r="AD12" s="1">
        <v>848843.741591</v>
      </c>
      <c r="AE12" s="1">
        <f>+AE11*0.23</f>
        <v>1020488.2321734342</v>
      </c>
      <c r="AF12" s="1">
        <f t="shared" ref="AF12:AU12" si="22">+AF11*0.23</f>
        <v>1170672.4158947498</v>
      </c>
      <c r="AG12" s="1">
        <f t="shared" si="22"/>
        <v>1337559.3976963398</v>
      </c>
      <c r="AH12" s="1">
        <f t="shared" si="22"/>
        <v>1522815.5028610411</v>
      </c>
      <c r="AI12" s="1">
        <f t="shared" si="22"/>
        <v>1728263.757529926</v>
      </c>
      <c r="AJ12" s="1">
        <f t="shared" si="22"/>
        <v>1955898.08515184</v>
      </c>
      <c r="AK12" s="1">
        <f t="shared" si="22"/>
        <v>2207898.7565259058</v>
      </c>
      <c r="AL12" s="1">
        <f t="shared" si="22"/>
        <v>2486649.2020935384</v>
      </c>
      <c r="AM12" s="1">
        <f t="shared" si="22"/>
        <v>2794754.3044232312</v>
      </c>
      <c r="AN12" s="1">
        <f t="shared" si="22"/>
        <v>3135060.2989032771</v>
      </c>
      <c r="AO12" s="1">
        <f t="shared" si="22"/>
        <v>3510676.4215803072</v>
      </c>
      <c r="AP12" s="1">
        <f t="shared" si="22"/>
        <v>3924998.4549266095</v>
      </c>
      <c r="AQ12" s="1">
        <f t="shared" si="22"/>
        <v>4381734.3351635365</v>
      </c>
      <c r="AR12" s="1">
        <f t="shared" si="22"/>
        <v>4884931.998695882</v>
      </c>
      <c r="AS12" s="1">
        <f t="shared" si="22"/>
        <v>5439009.6603132086</v>
      </c>
      <c r="AT12" s="1">
        <f t="shared" si="22"/>
        <v>6048788.7321869778</v>
      </c>
      <c r="AU12" s="1">
        <f t="shared" si="22"/>
        <v>6719529.6104433453</v>
      </c>
    </row>
    <row r="13" spans="1:148" x14ac:dyDescent="0.2">
      <c r="A13" s="1" t="s">
        <v>8</v>
      </c>
      <c r="B13" s="1">
        <f t="shared" ref="B13:P13" si="23">+B11-B12</f>
        <v>678597.87160499988</v>
      </c>
      <c r="C13" s="1">
        <f t="shared" si="23"/>
        <v>141542.24925399976</v>
      </c>
      <c r="D13" s="1">
        <f t="shared" si="23"/>
        <v>109330.43182200106</v>
      </c>
      <c r="E13" s="1">
        <f t="shared" si="23"/>
        <v>216901.39639700245</v>
      </c>
      <c r="F13" s="1">
        <f t="shared" si="23"/>
        <v>286434.57347599987</v>
      </c>
      <c r="G13" s="1">
        <f t="shared" si="23"/>
        <v>231247.19791999925</v>
      </c>
      <c r="H13" s="1">
        <f t="shared" si="23"/>
        <v>393523.44553000171</v>
      </c>
      <c r="I13" s="1">
        <f t="shared" si="23"/>
        <v>627442.03057400114</v>
      </c>
      <c r="J13" s="1">
        <f t="shared" si="23"/>
        <v>904069.66259800014</v>
      </c>
      <c r="K13" s="1">
        <f t="shared" si="23"/>
        <v>423306.03968499938</v>
      </c>
      <c r="L13" s="1">
        <f t="shared" si="23"/>
        <v>775297.36477699922</v>
      </c>
      <c r="M13" s="1">
        <f t="shared" si="23"/>
        <v>1130132.6670200012</v>
      </c>
      <c r="N13" s="1">
        <f t="shared" si="23"/>
        <v>1025813.5521140008</v>
      </c>
      <c r="O13" s="1">
        <f t="shared" si="23"/>
        <v>499577.81270399824</v>
      </c>
      <c r="P13" s="1">
        <f t="shared" si="23"/>
        <v>558800.5781910012</v>
      </c>
      <c r="U13" s="1">
        <f t="shared" ref="U13:AE13" si="24">+U11-U12</f>
        <v>445439.93050900049</v>
      </c>
      <c r="V13" s="1">
        <f t="shared" si="24"/>
        <v>1110696.6039610007</v>
      </c>
      <c r="W13" s="1">
        <f t="shared" si="24"/>
        <v>1516408.7860769976</v>
      </c>
      <c r="X13" s="1">
        <f t="shared" si="24"/>
        <v>1554199.1572279995</v>
      </c>
      <c r="Y13" s="1">
        <f t="shared" si="24"/>
        <v>1560544.4644820024</v>
      </c>
      <c r="Z13" s="1">
        <f t="shared" si="24"/>
        <v>2204500.1401059977</v>
      </c>
      <c r="AA13" s="1">
        <f t="shared" si="24"/>
        <v>1942789.5522730022</v>
      </c>
      <c r="AB13" s="1">
        <f t="shared" si="24"/>
        <v>1146371.9490780034</v>
      </c>
      <c r="AC13" s="1">
        <f t="shared" si="24"/>
        <v>1538647.2475000017</v>
      </c>
      <c r="AD13" s="1">
        <f t="shared" si="24"/>
        <v>3232805.7340799998</v>
      </c>
      <c r="AE13" s="1">
        <f t="shared" si="24"/>
        <v>3416417.1251023663</v>
      </c>
      <c r="AF13" s="1">
        <f t="shared" ref="AF13:AU13" si="25">+AF11-AF12</f>
        <v>3919207.6532128584</v>
      </c>
      <c r="AG13" s="1">
        <f t="shared" si="25"/>
        <v>4477916.2444616593</v>
      </c>
      <c r="AH13" s="1">
        <f t="shared" si="25"/>
        <v>5098121.4661000073</v>
      </c>
      <c r="AI13" s="1">
        <f t="shared" si="25"/>
        <v>5785926.4926001877</v>
      </c>
      <c r="AJ13" s="1">
        <f t="shared" si="25"/>
        <v>6548006.6328996383</v>
      </c>
      <c r="AK13" s="1">
        <f t="shared" si="25"/>
        <v>7391661.0544562936</v>
      </c>
      <c r="AL13" s="1">
        <f t="shared" si="25"/>
        <v>8324869.0678783674</v>
      </c>
      <c r="AM13" s="1">
        <f t="shared" si="25"/>
        <v>9356351.366982121</v>
      </c>
      <c r="AN13" s="1">
        <f t="shared" si="25"/>
        <v>10495636.652850101</v>
      </c>
      <c r="AO13" s="1">
        <f t="shared" si="25"/>
        <v>11753134.107029723</v>
      </c>
      <c r="AP13" s="1">
        <f t="shared" si="25"/>
        <v>13140212.218667343</v>
      </c>
      <c r="AQ13" s="1">
        <f t="shared" si="25"/>
        <v>14669284.513373576</v>
      </c>
      <c r="AR13" s="1">
        <f t="shared" si="25"/>
        <v>16353902.778242735</v>
      </c>
      <c r="AS13" s="1">
        <f t="shared" si="25"/>
        <v>18208858.428005088</v>
      </c>
      <c r="AT13" s="1">
        <f t="shared" si="25"/>
        <v>20250292.712104231</v>
      </c>
      <c r="AU13" s="1">
        <f t="shared" si="25"/>
        <v>22495816.521919023</v>
      </c>
      <c r="AV13" s="1">
        <f t="shared" ref="AV13:CA13" si="26">+AU13*(1+$AX$21)</f>
        <v>22270858.356699832</v>
      </c>
      <c r="AW13" s="1">
        <f t="shared" si="26"/>
        <v>22048149.773132835</v>
      </c>
      <c r="AX13" s="1">
        <f t="shared" si="26"/>
        <v>21827668.275401507</v>
      </c>
      <c r="AY13" s="1">
        <f t="shared" si="26"/>
        <v>21609391.592647493</v>
      </c>
      <c r="AZ13" s="1">
        <f t="shared" si="26"/>
        <v>21393297.676721018</v>
      </c>
      <c r="BA13" s="1">
        <f t="shared" si="26"/>
        <v>21179364.699953806</v>
      </c>
      <c r="BB13" s="1">
        <f t="shared" si="26"/>
        <v>20967571.052954268</v>
      </c>
      <c r="BC13" s="1">
        <f t="shared" si="26"/>
        <v>20757895.342424724</v>
      </c>
      <c r="BD13" s="1">
        <f t="shared" si="26"/>
        <v>20550316.389000475</v>
      </c>
      <c r="BE13" s="1">
        <f t="shared" si="26"/>
        <v>20344813.225110471</v>
      </c>
      <c r="BF13" s="1">
        <f t="shared" si="26"/>
        <v>20141365.092859365</v>
      </c>
      <c r="BG13" s="1">
        <f t="shared" si="26"/>
        <v>19939951.441930771</v>
      </c>
      <c r="BH13" s="1">
        <f t="shared" si="26"/>
        <v>19740551.927511465</v>
      </c>
      <c r="BI13" s="1">
        <f t="shared" si="26"/>
        <v>19543146.408236351</v>
      </c>
      <c r="BJ13" s="1">
        <f t="shared" si="26"/>
        <v>19347714.944153987</v>
      </c>
      <c r="BK13" s="1">
        <f t="shared" si="26"/>
        <v>19154237.794712447</v>
      </c>
      <c r="BL13" s="1">
        <f t="shared" si="26"/>
        <v>18962695.416765321</v>
      </c>
      <c r="BM13" s="1">
        <f t="shared" si="26"/>
        <v>18773068.462597668</v>
      </c>
      <c r="BN13" s="1">
        <f t="shared" si="26"/>
        <v>18585337.777971692</v>
      </c>
      <c r="BO13" s="1">
        <f t="shared" si="26"/>
        <v>18399484.400191974</v>
      </c>
      <c r="BP13" s="1">
        <f t="shared" si="26"/>
        <v>18215489.556190055</v>
      </c>
      <c r="BQ13" s="1">
        <f t="shared" si="26"/>
        <v>18033334.660628155</v>
      </c>
      <c r="BR13" s="1">
        <f t="shared" si="26"/>
        <v>17853001.314021874</v>
      </c>
      <c r="BS13" s="1">
        <f t="shared" si="26"/>
        <v>17674471.300881654</v>
      </c>
      <c r="BT13" s="1">
        <f t="shared" si="26"/>
        <v>17497726.587872837</v>
      </c>
      <c r="BU13" s="1">
        <f t="shared" si="26"/>
        <v>17322749.321994107</v>
      </c>
      <c r="BV13" s="1">
        <f t="shared" si="26"/>
        <v>17149521.828774165</v>
      </c>
      <c r="BW13" s="1">
        <f t="shared" si="26"/>
        <v>16978026.610486422</v>
      </c>
      <c r="BX13" s="1">
        <f t="shared" si="26"/>
        <v>16808246.344381556</v>
      </c>
      <c r="BY13" s="1">
        <f t="shared" si="26"/>
        <v>16640163.88093774</v>
      </c>
      <c r="BZ13" s="1">
        <f t="shared" si="26"/>
        <v>16473762.242128363</v>
      </c>
      <c r="CA13" s="1">
        <f t="shared" si="26"/>
        <v>16309024.61970708</v>
      </c>
      <c r="CB13" s="1">
        <f t="shared" ref="CB13:DG13" si="27">+CA13*(1+$AX$21)</f>
        <v>16145934.373510009</v>
      </c>
      <c r="CC13" s="1">
        <f t="shared" si="27"/>
        <v>15984475.029774908</v>
      </c>
      <c r="CD13" s="1">
        <f t="shared" si="27"/>
        <v>15824630.279477159</v>
      </c>
      <c r="CE13" s="1">
        <f t="shared" si="27"/>
        <v>15666383.976682387</v>
      </c>
      <c r="CF13" s="1">
        <f t="shared" si="27"/>
        <v>15509720.136915563</v>
      </c>
      <c r="CG13" s="1">
        <f t="shared" si="27"/>
        <v>15354622.935546407</v>
      </c>
      <c r="CH13" s="1">
        <f t="shared" si="27"/>
        <v>15201076.706190944</v>
      </c>
      <c r="CI13" s="1">
        <f t="shared" si="27"/>
        <v>15049065.939129034</v>
      </c>
      <c r="CJ13" s="1">
        <f t="shared" si="27"/>
        <v>14898575.279737744</v>
      </c>
      <c r="CK13" s="1">
        <f t="shared" si="27"/>
        <v>14749589.526940366</v>
      </c>
      <c r="CL13" s="1">
        <f t="shared" si="27"/>
        <v>14602093.631670963</v>
      </c>
      <c r="CM13" s="1">
        <f t="shared" si="27"/>
        <v>14456072.695354253</v>
      </c>
      <c r="CN13" s="1">
        <f t="shared" si="27"/>
        <v>14311511.968400711</v>
      </c>
      <c r="CO13" s="1">
        <f t="shared" si="27"/>
        <v>14168396.848716704</v>
      </c>
      <c r="CP13" s="1">
        <f t="shared" si="27"/>
        <v>14026712.880229536</v>
      </c>
      <c r="CQ13" s="1">
        <f t="shared" si="27"/>
        <v>13886445.751427241</v>
      </c>
      <c r="CR13" s="1">
        <f t="shared" si="27"/>
        <v>13747581.293912968</v>
      </c>
      <c r="CS13" s="1">
        <f t="shared" si="27"/>
        <v>13610105.480973838</v>
      </c>
      <c r="CT13" s="1">
        <f t="shared" si="27"/>
        <v>13474004.4261641</v>
      </c>
      <c r="CU13" s="1">
        <f t="shared" si="27"/>
        <v>13339264.381902458</v>
      </c>
      <c r="CV13" s="1">
        <f t="shared" si="27"/>
        <v>13205871.738083433</v>
      </c>
      <c r="CW13" s="1">
        <f t="shared" si="27"/>
        <v>13073813.020702599</v>
      </c>
      <c r="CX13" s="1">
        <f t="shared" si="27"/>
        <v>12943074.890495572</v>
      </c>
      <c r="CY13" s="1">
        <f t="shared" si="27"/>
        <v>12813644.141590616</v>
      </c>
      <c r="CZ13" s="1">
        <f t="shared" si="27"/>
        <v>12685507.70017471</v>
      </c>
      <c r="DA13" s="1">
        <f t="shared" si="27"/>
        <v>12558652.623172963</v>
      </c>
      <c r="DB13" s="1">
        <f t="shared" si="27"/>
        <v>12433066.096941233</v>
      </c>
      <c r="DC13" s="1">
        <f t="shared" si="27"/>
        <v>12308735.435971821</v>
      </c>
      <c r="DD13" s="1">
        <f t="shared" si="27"/>
        <v>12185648.081612103</v>
      </c>
      <c r="DE13" s="1">
        <f t="shared" si="27"/>
        <v>12063791.600795982</v>
      </c>
      <c r="DF13" s="1">
        <f t="shared" si="27"/>
        <v>11943153.684788022</v>
      </c>
      <c r="DG13" s="1">
        <f t="shared" si="27"/>
        <v>11823722.147940142</v>
      </c>
      <c r="DH13" s="1">
        <f t="shared" ref="DH13:ER13" si="28">+DG13*(1+$AX$21)</f>
        <v>11705484.926460741</v>
      </c>
      <c r="DI13" s="1">
        <f t="shared" si="28"/>
        <v>11588430.077196134</v>
      </c>
      <c r="DJ13" s="1">
        <f t="shared" si="28"/>
        <v>11472545.776424173</v>
      </c>
      <c r="DK13" s="1">
        <f t="shared" si="28"/>
        <v>11357820.318659931</v>
      </c>
      <c r="DL13" s="1">
        <f t="shared" si="28"/>
        <v>11244242.115473332</v>
      </c>
      <c r="DM13" s="1">
        <f t="shared" si="28"/>
        <v>11131799.694318598</v>
      </c>
      <c r="DN13" s="1">
        <f t="shared" si="28"/>
        <v>11020481.697375411</v>
      </c>
      <c r="DO13" s="1">
        <f t="shared" si="28"/>
        <v>10910276.880401656</v>
      </c>
      <c r="DP13" s="1">
        <f t="shared" si="28"/>
        <v>10801174.111597639</v>
      </c>
      <c r="DQ13" s="1">
        <f t="shared" si="28"/>
        <v>10693162.370481662</v>
      </c>
      <c r="DR13" s="1">
        <f t="shared" si="28"/>
        <v>10586230.746776845</v>
      </c>
      <c r="DS13" s="1">
        <f t="shared" si="28"/>
        <v>10480368.439309077</v>
      </c>
      <c r="DT13" s="1">
        <f t="shared" si="28"/>
        <v>10375564.754915986</v>
      </c>
      <c r="DU13" s="1">
        <f t="shared" si="28"/>
        <v>10271809.107366826</v>
      </c>
      <c r="DV13" s="1">
        <f t="shared" si="28"/>
        <v>10169091.016293159</v>
      </c>
      <c r="DW13" s="1">
        <f t="shared" si="28"/>
        <v>10067400.106130227</v>
      </c>
      <c r="DX13" s="1">
        <f t="shared" si="28"/>
        <v>9966726.1050689258</v>
      </c>
      <c r="DY13" s="1">
        <f t="shared" si="28"/>
        <v>9867058.8440182358</v>
      </c>
      <c r="DZ13" s="1">
        <f t="shared" si="28"/>
        <v>9768388.2555780541</v>
      </c>
      <c r="EA13" s="1">
        <f t="shared" si="28"/>
        <v>9670704.3730222732</v>
      </c>
      <c r="EB13" s="1">
        <f t="shared" si="28"/>
        <v>9573997.3292920496</v>
      </c>
      <c r="EC13" s="1">
        <f t="shared" si="28"/>
        <v>9478257.3559991289</v>
      </c>
      <c r="ED13" s="1">
        <f t="shared" si="28"/>
        <v>9383474.7824391369</v>
      </c>
      <c r="EE13" s="1">
        <f t="shared" si="28"/>
        <v>9289640.0346147455</v>
      </c>
      <c r="EF13" s="1">
        <f t="shared" si="28"/>
        <v>9196743.6342685986</v>
      </c>
      <c r="EG13" s="1">
        <f t="shared" si="28"/>
        <v>9104776.1979259122</v>
      </c>
      <c r="EH13" s="1">
        <f t="shared" si="28"/>
        <v>9013728.4359466527</v>
      </c>
      <c r="EI13" s="1">
        <f t="shared" si="28"/>
        <v>8923591.1515871864</v>
      </c>
      <c r="EJ13" s="1">
        <f t="shared" si="28"/>
        <v>8834355.2400713153</v>
      </c>
      <c r="EK13" s="1">
        <f t="shared" si="28"/>
        <v>8746011.6876706015</v>
      </c>
      <c r="EL13" s="1">
        <f t="shared" si="28"/>
        <v>8658551.5707938951</v>
      </c>
      <c r="EM13" s="1">
        <f t="shared" si="28"/>
        <v>8571966.0550859552</v>
      </c>
      <c r="EN13" s="1">
        <f t="shared" si="28"/>
        <v>8486246.3945350964</v>
      </c>
      <c r="EO13" s="1">
        <f t="shared" si="28"/>
        <v>8401383.9305897448</v>
      </c>
      <c r="EP13" s="1">
        <f t="shared" si="28"/>
        <v>8317370.0912838476</v>
      </c>
      <c r="EQ13" s="1">
        <f t="shared" si="28"/>
        <v>8234196.3903710088</v>
      </c>
      <c r="ER13" s="1">
        <f t="shared" si="28"/>
        <v>8151854.4264672985</v>
      </c>
    </row>
    <row r="14" spans="1:148" s="4" customFormat="1" x14ac:dyDescent="0.2">
      <c r="A14" s="4" t="s">
        <v>9</v>
      </c>
      <c r="B14" s="4">
        <f t="shared" ref="B14:P14" si="29">+B13/B15</f>
        <v>30.350506959321844</v>
      </c>
      <c r="C14" s="4">
        <f t="shared" si="29"/>
        <v>6.3305223915027895</v>
      </c>
      <c r="D14" s="4">
        <f t="shared" si="29"/>
        <v>4.8898385490527927</v>
      </c>
      <c r="E14" s="4">
        <f t="shared" si="29"/>
        <v>9.7009843624527878</v>
      </c>
      <c r="F14" s="4">
        <f t="shared" si="29"/>
        <v>12.810877957975702</v>
      </c>
      <c r="G14" s="4">
        <f t="shared" si="29"/>
        <v>10.342604926235229</v>
      </c>
      <c r="H14" s="4">
        <f t="shared" si="29"/>
        <v>17.600462029104055</v>
      </c>
      <c r="I14" s="4">
        <f t="shared" si="29"/>
        <v>28.062545599305917</v>
      </c>
      <c r="J14" s="4">
        <f t="shared" si="29"/>
        <v>40.43480496261283</v>
      </c>
      <c r="K14" s="4">
        <f t="shared" si="29"/>
        <v>18.932498083137052</v>
      </c>
      <c r="L14" s="4">
        <f t="shared" si="29"/>
        <v>34.675422735344206</v>
      </c>
      <c r="M14" s="4">
        <f t="shared" si="29"/>
        <v>50.545545175704589</v>
      </c>
      <c r="N14" s="4">
        <f t="shared" si="29"/>
        <v>45.879839379344801</v>
      </c>
      <c r="O14" s="4">
        <f t="shared" si="29"/>
        <v>22.34377753843189</v>
      </c>
      <c r="P14" s="4">
        <f t="shared" si="29"/>
        <v>24.992534676164009</v>
      </c>
      <c r="U14" s="4">
        <f t="shared" ref="U14:AD14" si="30">+U13/U15</f>
        <v>19.92244343310087</v>
      </c>
      <c r="V14" s="4">
        <f t="shared" si="30"/>
        <v>49.676261035837172</v>
      </c>
      <c r="W14" s="4">
        <f t="shared" si="30"/>
        <v>67.821868209154005</v>
      </c>
      <c r="X14" s="4">
        <f t="shared" si="30"/>
        <v>69.512054651827455</v>
      </c>
      <c r="Y14" s="4">
        <f t="shared" si="30"/>
        <v>69.795850549265452</v>
      </c>
      <c r="Z14" s="4">
        <f t="shared" si="30"/>
        <v>98.596974207810192</v>
      </c>
      <c r="AA14" s="4">
        <f t="shared" si="30"/>
        <v>86.89188441941036</v>
      </c>
      <c r="AB14" s="4">
        <f t="shared" si="30"/>
        <v>51.271852262330228</v>
      </c>
      <c r="AC14" s="4">
        <f t="shared" si="30"/>
        <v>68.816490512620888</v>
      </c>
      <c r="AD14" s="4">
        <f t="shared" si="30"/>
        <v>144.58827095679868</v>
      </c>
      <c r="AE14" s="4">
        <f t="shared" ref="AE14:AU14" si="31">+AE13/AE15</f>
        <v>152.80034917604613</v>
      </c>
      <c r="AF14" s="4">
        <f t="shared" si="31"/>
        <v>175.2878164391046</v>
      </c>
      <c r="AG14" s="4">
        <f t="shared" si="31"/>
        <v>200.27623696984281</v>
      </c>
      <c r="AH14" s="4">
        <f t="shared" si="31"/>
        <v>228.0151139737178</v>
      </c>
      <c r="AI14" s="4">
        <f t="shared" si="31"/>
        <v>258.77741388202253</v>
      </c>
      <c r="AJ14" s="4">
        <f t="shared" si="31"/>
        <v>292.86169202308741</v>
      </c>
      <c r="AK14" s="4">
        <f t="shared" si="31"/>
        <v>330.59440599720716</v>
      </c>
      <c r="AL14" s="4">
        <f t="shared" si="31"/>
        <v>372.33243302471908</v>
      </c>
      <c r="AM14" s="4">
        <f t="shared" si="31"/>
        <v>418.46580892718356</v>
      </c>
      <c r="AN14" s="4">
        <f t="shared" si="31"/>
        <v>469.42070790970837</v>
      </c>
      <c r="AO14" s="4">
        <f t="shared" si="31"/>
        <v>525.66268394794702</v>
      </c>
      <c r="AP14" s="4">
        <f t="shared" si="31"/>
        <v>587.70019635689459</v>
      </c>
      <c r="AQ14" s="4">
        <f t="shared" si="31"/>
        <v>656.08844404182264</v>
      </c>
      <c r="AR14" s="4">
        <f t="shared" si="31"/>
        <v>731.43353501710556</v>
      </c>
      <c r="AS14" s="4">
        <f t="shared" si="31"/>
        <v>814.39702003981756</v>
      </c>
      <c r="AT14" s="4">
        <f t="shared" si="31"/>
        <v>905.70082165653457</v>
      </c>
      <c r="AU14" s="4">
        <f t="shared" si="31"/>
        <v>1006.1325926196732</v>
      </c>
    </row>
    <row r="15" spans="1:148" x14ac:dyDescent="0.2">
      <c r="A15" s="1" t="s">
        <v>10</v>
      </c>
      <c r="B15" s="1">
        <v>22358.699724999999</v>
      </c>
      <c r="C15" s="1">
        <v>22358.699724999999</v>
      </c>
      <c r="D15" s="1">
        <v>22358.699724999999</v>
      </c>
      <c r="E15" s="1">
        <v>22358.699724999999</v>
      </c>
      <c r="F15" s="1">
        <v>22358.699724999999</v>
      </c>
      <c r="G15" s="1">
        <v>22358.699724999999</v>
      </c>
      <c r="H15" s="1">
        <v>22358.699724999999</v>
      </c>
      <c r="I15" s="1">
        <v>22358.699724999999</v>
      </c>
      <c r="J15" s="1">
        <v>22358.699724999999</v>
      </c>
      <c r="K15" s="1">
        <v>22358.699724999999</v>
      </c>
      <c r="L15" s="1">
        <v>22358.699724999999</v>
      </c>
      <c r="M15" s="1">
        <v>22358.699724999999</v>
      </c>
      <c r="N15" s="1">
        <v>22358.699724999999</v>
      </c>
      <c r="O15" s="1">
        <v>22358.699724999999</v>
      </c>
      <c r="P15" s="1">
        <v>22358.699724999999</v>
      </c>
      <c r="U15" s="1">
        <v>22358.699724999999</v>
      </c>
      <c r="V15" s="1">
        <v>22358.699724999999</v>
      </c>
      <c r="W15" s="1">
        <v>22358.699724999999</v>
      </c>
      <c r="X15" s="1">
        <v>22358.699724999999</v>
      </c>
      <c r="Y15" s="1">
        <v>22358.699724999999</v>
      </c>
      <c r="Z15" s="1">
        <v>22358.699724999999</v>
      </c>
      <c r="AA15" s="1">
        <v>22358.699724999999</v>
      </c>
      <c r="AB15" s="1">
        <v>22358.699724999999</v>
      </c>
      <c r="AC15" s="1">
        <v>22358.699724999999</v>
      </c>
      <c r="AD15" s="1">
        <v>22358.699724999999</v>
      </c>
      <c r="AE15" s="1">
        <v>22358.699724999999</v>
      </c>
      <c r="AF15" s="1">
        <v>22358.699724999999</v>
      </c>
      <c r="AG15" s="1">
        <v>22358.699724999999</v>
      </c>
      <c r="AH15" s="1">
        <v>22358.699724999999</v>
      </c>
      <c r="AI15" s="1">
        <v>22358.699724999999</v>
      </c>
      <c r="AJ15" s="1">
        <v>22358.699724999999</v>
      </c>
      <c r="AK15" s="1">
        <v>22358.699724999999</v>
      </c>
      <c r="AL15" s="1">
        <v>22358.699724999999</v>
      </c>
      <c r="AM15" s="1">
        <v>22358.699724999999</v>
      </c>
      <c r="AN15" s="1">
        <v>22358.699724999999</v>
      </c>
      <c r="AO15" s="1">
        <v>22358.699724999999</v>
      </c>
      <c r="AP15" s="1">
        <v>22358.699724999999</v>
      </c>
      <c r="AQ15" s="1">
        <v>22358.699724999999</v>
      </c>
      <c r="AR15" s="1">
        <v>22358.699724999999</v>
      </c>
      <c r="AS15" s="1">
        <v>22358.699724999999</v>
      </c>
      <c r="AT15" s="1">
        <v>22358.699724999999</v>
      </c>
      <c r="AU15" s="1">
        <v>22358.699724999999</v>
      </c>
    </row>
    <row r="17" spans="1:50" s="3" customFormat="1" x14ac:dyDescent="0.2">
      <c r="A17" s="3" t="s">
        <v>11</v>
      </c>
      <c r="B17" s="3">
        <f t="shared" ref="B17:P17" si="32">+B5/B3</f>
        <v>0.29647183869496324</v>
      </c>
      <c r="C17" s="3">
        <f t="shared" si="32"/>
        <v>0.24372490607445421</v>
      </c>
      <c r="D17" s="3">
        <f t="shared" si="32"/>
        <v>0.22178293008154051</v>
      </c>
      <c r="E17" s="3">
        <f t="shared" si="32"/>
        <v>0.22910362099923601</v>
      </c>
      <c r="F17" s="3">
        <f t="shared" si="32"/>
        <v>0.21779659473939342</v>
      </c>
      <c r="G17" s="3">
        <f t="shared" si="32"/>
        <v>0.19601812181228009</v>
      </c>
      <c r="H17" s="3">
        <f t="shared" si="32"/>
        <v>0.22454521783566742</v>
      </c>
      <c r="I17" s="3">
        <f t="shared" si="32"/>
        <v>0.24796303794614813</v>
      </c>
      <c r="J17" s="3">
        <f t="shared" si="32"/>
        <v>0.27395971666120744</v>
      </c>
      <c r="K17" s="3">
        <f t="shared" si="32"/>
        <v>0.25545960517975358</v>
      </c>
      <c r="L17" s="3">
        <f t="shared" si="32"/>
        <v>0.26873599599096082</v>
      </c>
      <c r="M17" s="3">
        <f t="shared" si="32"/>
        <v>0.26722284590423784</v>
      </c>
      <c r="N17" s="3">
        <f t="shared" si="32"/>
        <v>0.27789931661008455</v>
      </c>
      <c r="O17" s="3">
        <f t="shared" si="32"/>
        <v>0.23524838982569593</v>
      </c>
      <c r="P17" s="3">
        <f t="shared" si="32"/>
        <v>0.20458818746086202</v>
      </c>
      <c r="S17" s="3">
        <f>+TRIMMEAN(U17:AD17,80%)</f>
        <v>0.26644719015940643</v>
      </c>
      <c r="U17" s="3">
        <f t="shared" ref="U17:AE17" si="33">+U5/U3</f>
        <v>0.17892653069723616</v>
      </c>
      <c r="V17" s="3">
        <f t="shared" si="33"/>
        <v>0.28331280344964815</v>
      </c>
      <c r="W17" s="3">
        <f t="shared" si="33"/>
        <v>0.26705357848495898</v>
      </c>
      <c r="X17" s="3">
        <f t="shared" si="33"/>
        <v>0.23899373973904847</v>
      </c>
      <c r="Y17" s="3">
        <f t="shared" si="33"/>
        <v>0.26585370784573364</v>
      </c>
      <c r="Z17" s="3">
        <f t="shared" si="33"/>
        <v>0.31635127521105133</v>
      </c>
      <c r="AA17" s="3">
        <f t="shared" si="33"/>
        <v>0.29820389564924932</v>
      </c>
      <c r="AB17" s="3">
        <f t="shared" si="33"/>
        <v>0.24809507566724356</v>
      </c>
      <c r="AC17" s="3">
        <f t="shared" si="33"/>
        <v>0.22300475419031801</v>
      </c>
      <c r="AD17" s="3">
        <f t="shared" si="33"/>
        <v>0.26704067247307922</v>
      </c>
      <c r="AE17" s="3">
        <f t="shared" si="33"/>
        <v>0.27314866686913697</v>
      </c>
      <c r="AF17" s="3">
        <f t="shared" ref="AF17:AU17" si="34">+AF5/AF3</f>
        <v>0.27920576131189423</v>
      </c>
      <c r="AG17" s="3">
        <f t="shared" si="34"/>
        <v>0.2852123799676286</v>
      </c>
      <c r="AH17" s="3">
        <f t="shared" si="34"/>
        <v>0.29116894346789846</v>
      </c>
      <c r="AI17" s="3">
        <f t="shared" si="34"/>
        <v>0.2970758689389994</v>
      </c>
      <c r="AJ17" s="3">
        <f t="shared" si="34"/>
        <v>0.30293357003117455</v>
      </c>
      <c r="AK17" s="3">
        <f t="shared" si="34"/>
        <v>0.3087424569475814</v>
      </c>
      <c r="AL17" s="3">
        <f t="shared" si="34"/>
        <v>0.3145029364730183</v>
      </c>
      <c r="AM17" s="3">
        <f t="shared" si="34"/>
        <v>0.32021541200240988</v>
      </c>
      <c r="AN17" s="3">
        <f t="shared" si="34"/>
        <v>0.32588028356905657</v>
      </c>
      <c r="AO17" s="3">
        <f t="shared" si="34"/>
        <v>0.3314979478726478</v>
      </c>
      <c r="AP17" s="3">
        <f t="shared" si="34"/>
        <v>0.33706879830704251</v>
      </c>
      <c r="AQ17" s="3">
        <f t="shared" si="34"/>
        <v>0.34259322498781725</v>
      </c>
      <c r="AR17" s="3">
        <f t="shared" si="34"/>
        <v>0.34807161477958554</v>
      </c>
      <c r="AS17" s="3">
        <f t="shared" si="34"/>
        <v>0.35350435132308905</v>
      </c>
      <c r="AT17" s="3">
        <f t="shared" si="34"/>
        <v>0.3588918150620633</v>
      </c>
      <c r="AU17" s="3">
        <f t="shared" si="34"/>
        <v>0.36423438326987945</v>
      </c>
    </row>
    <row r="18" spans="1:50" s="3" customFormat="1" x14ac:dyDescent="0.2">
      <c r="A18" s="3" t="s">
        <v>51</v>
      </c>
      <c r="B18" s="3">
        <f t="shared" ref="B18:O18" si="35">+B6/B3</f>
        <v>0.13435446712160082</v>
      </c>
      <c r="C18" s="3">
        <f t="shared" si="35"/>
        <v>0.16738120763000125</v>
      </c>
      <c r="D18" s="3">
        <f t="shared" si="35"/>
        <v>0.16504429890845004</v>
      </c>
      <c r="E18" s="3">
        <f t="shared" si="35"/>
        <v>0.18194446383841967</v>
      </c>
      <c r="F18" s="3">
        <f t="shared" si="35"/>
        <v>0.13593185800150467</v>
      </c>
      <c r="G18" s="3">
        <f t="shared" si="35"/>
        <v>0.11101890443012392</v>
      </c>
      <c r="H18" s="3">
        <f t="shared" si="35"/>
        <v>0.12487230079880576</v>
      </c>
      <c r="I18" s="3">
        <f t="shared" si="35"/>
        <v>0.11171690112835811</v>
      </c>
      <c r="J18" s="3">
        <f t="shared" si="35"/>
        <v>0.11509230943427687</v>
      </c>
      <c r="K18" s="3">
        <f t="shared" si="35"/>
        <v>0.13343887995558679</v>
      </c>
      <c r="L18" s="3">
        <f t="shared" si="35"/>
        <v>0.11488389322718356</v>
      </c>
      <c r="M18" s="3">
        <f t="shared" si="35"/>
        <v>7.0744279446076669E-2</v>
      </c>
      <c r="N18" s="3">
        <f t="shared" si="35"/>
        <v>0.10418508663121406</v>
      </c>
      <c r="O18" s="3">
        <f t="shared" si="35"/>
        <v>0.1140711307341829</v>
      </c>
      <c r="P18" s="3">
        <f>+P6/P3</f>
        <v>0.1018215535789149</v>
      </c>
      <c r="Q18" s="3">
        <f>+TRIMMEAN(B18:P18,80%)</f>
        <v>0.1182828344867554</v>
      </c>
    </row>
    <row r="19" spans="1:50" s="3" customFormat="1" x14ac:dyDescent="0.2">
      <c r="A19" s="3" t="s">
        <v>52</v>
      </c>
      <c r="B19" s="3">
        <f t="shared" ref="B19:O19" si="36">+B7/B3</f>
        <v>2.6319938305674851E-2</v>
      </c>
      <c r="C19" s="3">
        <f t="shared" si="36"/>
        <v>3.3435326095905098E-2</v>
      </c>
      <c r="D19" s="3">
        <f t="shared" si="36"/>
        <v>2.7606389227444156E-2</v>
      </c>
      <c r="E19" s="3">
        <f t="shared" si="36"/>
        <v>4.704343675513931E-3</v>
      </c>
      <c r="F19" s="3">
        <f t="shared" si="36"/>
        <v>2.3660148161310738E-2</v>
      </c>
      <c r="G19" s="3">
        <f t="shared" si="36"/>
        <v>2.2774882730754484E-2</v>
      </c>
      <c r="H19" s="3">
        <f t="shared" si="36"/>
        <v>2.3047332613311163E-2</v>
      </c>
      <c r="I19" s="3">
        <f t="shared" si="36"/>
        <v>2.1635918479926786E-2</v>
      </c>
      <c r="J19" s="3">
        <f t="shared" si="36"/>
        <v>2.2526353838000907E-2</v>
      </c>
      <c r="K19" s="3">
        <f t="shared" si="36"/>
        <v>2.9916805077027504E-2</v>
      </c>
      <c r="L19" s="3">
        <f t="shared" si="36"/>
        <v>2.3074854699897451E-2</v>
      </c>
      <c r="M19" s="3">
        <f t="shared" si="36"/>
        <v>2.1336348611971857E-2</v>
      </c>
      <c r="N19" s="3">
        <f t="shared" si="36"/>
        <v>2.3789621704730736E-2</v>
      </c>
      <c r="O19" s="3">
        <f t="shared" si="36"/>
        <v>2.8064888380355434E-2</v>
      </c>
      <c r="P19" s="3">
        <f>+P7/P3</f>
        <v>2.5621054084256377E-2</v>
      </c>
      <c r="Q19" s="3">
        <f>+TRIMMEAN(B19:P19,80%)</f>
        <v>2.3508208188646306E-2</v>
      </c>
    </row>
    <row r="20" spans="1:50" s="3" customFormat="1" x14ac:dyDescent="0.2">
      <c r="A20" s="3" t="s">
        <v>12</v>
      </c>
      <c r="B20" s="3">
        <f t="shared" ref="B20:P20" si="37">+B9/B3</f>
        <v>0.13579743326768762</v>
      </c>
      <c r="C20" s="3">
        <f t="shared" si="37"/>
        <v>4.2908372348547844E-2</v>
      </c>
      <c r="D20" s="3">
        <f t="shared" si="37"/>
        <v>2.9132241945646339E-2</v>
      </c>
      <c r="E20" s="3">
        <f t="shared" si="37"/>
        <v>4.2454813485302383E-2</v>
      </c>
      <c r="F20" s="3">
        <f t="shared" si="37"/>
        <v>5.8204588576578023E-2</v>
      </c>
      <c r="G20" s="3">
        <f t="shared" si="37"/>
        <v>6.2224334651401696E-2</v>
      </c>
      <c r="H20" s="3">
        <f t="shared" si="37"/>
        <v>7.6625584423550497E-2</v>
      </c>
      <c r="I20" s="3">
        <f t="shared" si="37"/>
        <v>0.11461021833786325</v>
      </c>
      <c r="J20" s="3">
        <f t="shared" si="37"/>
        <v>0.13634105338892968</v>
      </c>
      <c r="K20" s="3">
        <f t="shared" si="37"/>
        <v>9.210392014713932E-2</v>
      </c>
      <c r="L20" s="3">
        <f t="shared" si="37"/>
        <v>0.1307772480638798</v>
      </c>
      <c r="M20" s="3">
        <f t="shared" si="37"/>
        <v>0.17514221784618933</v>
      </c>
      <c r="N20" s="3">
        <f t="shared" si="37"/>
        <v>0.14992460827413975</v>
      </c>
      <c r="O20" s="3">
        <f t="shared" si="37"/>
        <v>9.3112370711157591E-2</v>
      </c>
      <c r="P20" s="3">
        <f t="shared" si="37"/>
        <v>7.7145579797690766E-2</v>
      </c>
      <c r="S20" s="3">
        <f>+TRIMMEAN(U20:AD20,80%)</f>
        <v>0.11692912709676644</v>
      </c>
      <c r="U20" s="3">
        <f t="shared" ref="U20:AE20" si="38">+U9/U3</f>
        <v>6.2873772574997613E-2</v>
      </c>
      <c r="V20" s="3">
        <f t="shared" si="38"/>
        <v>0.12569368313378065</v>
      </c>
      <c r="W20" s="3">
        <f t="shared" si="38"/>
        <v>0.12617151512544567</v>
      </c>
      <c r="X20" s="3">
        <f t="shared" si="38"/>
        <v>0.11820137041954754</v>
      </c>
      <c r="Y20" s="3">
        <f t="shared" si="38"/>
        <v>0.10921880179993135</v>
      </c>
      <c r="Z20" s="3">
        <f t="shared" si="38"/>
        <v>0.12675580670481768</v>
      </c>
      <c r="AA20" s="3">
        <f t="shared" si="38"/>
        <v>0.11565688377398534</v>
      </c>
      <c r="AB20" s="3">
        <f t="shared" si="38"/>
        <v>6.3871855399987965E-2</v>
      </c>
      <c r="AC20" s="3">
        <f t="shared" si="38"/>
        <v>7.933360836160179E-2</v>
      </c>
      <c r="AD20" s="3">
        <f t="shared" si="38"/>
        <v>0.13655627217453453</v>
      </c>
      <c r="AE20" s="3">
        <f t="shared" si="38"/>
        <v>0.13314866686913696</v>
      </c>
      <c r="AF20" s="3">
        <f t="shared" ref="AF20:AU20" si="39">+AF9/AF3</f>
        <v>0.13920576131189422</v>
      </c>
      <c r="AG20" s="3">
        <f t="shared" si="39"/>
        <v>0.14521237996762862</v>
      </c>
      <c r="AH20" s="3">
        <f t="shared" si="39"/>
        <v>0.15116894346789844</v>
      </c>
      <c r="AI20" s="3">
        <f t="shared" si="39"/>
        <v>0.15707586893899941</v>
      </c>
      <c r="AJ20" s="3">
        <f t="shared" si="39"/>
        <v>0.16293357003117453</v>
      </c>
      <c r="AK20" s="3">
        <f t="shared" si="39"/>
        <v>0.16874245694758142</v>
      </c>
      <c r="AL20" s="3">
        <f t="shared" si="39"/>
        <v>0.17450293647301832</v>
      </c>
      <c r="AM20" s="3">
        <f t="shared" si="39"/>
        <v>0.18021541200240987</v>
      </c>
      <c r="AN20" s="3">
        <f t="shared" si="39"/>
        <v>0.18588028356905656</v>
      </c>
      <c r="AO20" s="3">
        <f t="shared" si="39"/>
        <v>0.19149794787264779</v>
      </c>
      <c r="AP20" s="3">
        <f t="shared" si="39"/>
        <v>0.19706879830704252</v>
      </c>
      <c r="AQ20" s="3">
        <f t="shared" si="39"/>
        <v>0.20259322498781729</v>
      </c>
      <c r="AR20" s="3">
        <f t="shared" si="39"/>
        <v>0.20807161477958555</v>
      </c>
      <c r="AS20" s="3">
        <f t="shared" si="39"/>
        <v>0.21350435132308904</v>
      </c>
      <c r="AT20" s="3">
        <f t="shared" si="39"/>
        <v>0.21889181506206329</v>
      </c>
      <c r="AU20" s="3">
        <f t="shared" si="39"/>
        <v>0.22423438326987946</v>
      </c>
      <c r="AW20" s="3" t="s">
        <v>45</v>
      </c>
      <c r="AX20" s="3">
        <v>0.02</v>
      </c>
    </row>
    <row r="21" spans="1:50" s="3" customFormat="1" x14ac:dyDescent="0.2">
      <c r="A21" s="3" t="s">
        <v>13</v>
      </c>
      <c r="B21" s="3">
        <f t="shared" ref="B21:P21" si="40">+B13/B3</f>
        <v>9.2509533399447258E-2</v>
      </c>
      <c r="C21" s="3">
        <f t="shared" si="40"/>
        <v>2.4327181740528118E-2</v>
      </c>
      <c r="D21" s="3">
        <f t="shared" si="40"/>
        <v>1.6235483478083471E-2</v>
      </c>
      <c r="E21" s="3">
        <f t="shared" si="40"/>
        <v>2.7055846377830064E-2</v>
      </c>
      <c r="F21" s="3">
        <f t="shared" si="40"/>
        <v>3.7758687472951476E-2</v>
      </c>
      <c r="G21" s="3">
        <f t="shared" si="40"/>
        <v>3.4059437255717903E-2</v>
      </c>
      <c r="H21" s="3">
        <f t="shared" si="40"/>
        <v>5.0101901356832713E-2</v>
      </c>
      <c r="I21" s="3">
        <f t="shared" si="40"/>
        <v>7.4345872275085656E-2</v>
      </c>
      <c r="J21" s="3">
        <f t="shared" si="40"/>
        <v>0.10696203331346323</v>
      </c>
      <c r="K21" s="3">
        <f t="shared" si="40"/>
        <v>6.6485424484411235E-2</v>
      </c>
      <c r="L21" s="3">
        <f t="shared" si="40"/>
        <v>9.601793183813509E-2</v>
      </c>
      <c r="M21" s="3">
        <f t="shared" si="40"/>
        <v>0.13154302088506006</v>
      </c>
      <c r="N21" s="3">
        <f t="shared" si="40"/>
        <v>0.11708653519441606</v>
      </c>
      <c r="O21" s="3">
        <f t="shared" si="40"/>
        <v>6.6948489585047732E-2</v>
      </c>
      <c r="P21" s="3">
        <f t="shared" si="40"/>
        <v>5.9344481001530502E-2</v>
      </c>
      <c r="U21" s="3">
        <f t="shared" ref="U21:AE21" si="41">+U13/U3</f>
        <v>3.1437444792629471E-2</v>
      </c>
      <c r="V21" s="3">
        <f t="shared" si="41"/>
        <v>7.4952209555263036E-2</v>
      </c>
      <c r="W21" s="3">
        <f t="shared" si="41"/>
        <v>8.2638261580761804E-2</v>
      </c>
      <c r="X21" s="3">
        <f t="shared" si="41"/>
        <v>7.4661262467980855E-2</v>
      </c>
      <c r="Y21" s="3">
        <f t="shared" si="41"/>
        <v>6.4858371670899556E-2</v>
      </c>
      <c r="Z21" s="3">
        <f t="shared" si="41"/>
        <v>8.8085790900737065E-2</v>
      </c>
      <c r="AA21" s="3">
        <f t="shared" si="41"/>
        <v>7.9372195278029994E-2</v>
      </c>
      <c r="AB21" s="3">
        <f t="shared" si="41"/>
        <v>4.108188833674116E-2</v>
      </c>
      <c r="AC21" s="3">
        <f t="shared" si="41"/>
        <v>5.0168798480652144E-2</v>
      </c>
      <c r="AD21" s="3">
        <f t="shared" si="41"/>
        <v>0.10267762088644647</v>
      </c>
      <c r="AE21" s="3">
        <f t="shared" si="41"/>
        <v>0.10047160131798615</v>
      </c>
      <c r="AF21" s="3">
        <f t="shared" ref="AF21:AU21" si="42">+AF13/AF3</f>
        <v>0.10672027925557308</v>
      </c>
      <c r="AG21" s="3">
        <f t="shared" si="42"/>
        <v>0.11290180604354659</v>
      </c>
      <c r="AH21" s="3">
        <f t="shared" si="42"/>
        <v>0.11901764321245141</v>
      </c>
      <c r="AI21" s="3">
        <f t="shared" si="42"/>
        <v>0.12506918616417895</v>
      </c>
      <c r="AJ21" s="3">
        <f t="shared" si="42"/>
        <v>0.13105776795000229</v>
      </c>
      <c r="AK21" s="3">
        <f t="shared" si="42"/>
        <v>0.13698466282410801</v>
      </c>
      <c r="AL21" s="3">
        <f t="shared" si="42"/>
        <v>0.1428510895860404</v>
      </c>
      <c r="AM21" s="3">
        <f t="shared" si="42"/>
        <v>0.14865821472467161</v>
      </c>
      <c r="AN21" s="3">
        <f t="shared" si="42"/>
        <v>0.15440715537555871</v>
      </c>
      <c r="AO21" s="3">
        <f t="shared" si="42"/>
        <v>0.1600989821028358</v>
      </c>
      <c r="AP21" s="3">
        <f t="shared" si="42"/>
        <v>0.16573472151612703</v>
      </c>
      <c r="AQ21" s="3">
        <f t="shared" si="42"/>
        <v>0.17131535873233475</v>
      </c>
      <c r="AR21" s="3">
        <f t="shared" si="42"/>
        <v>0.17684183969157102</v>
      </c>
      <c r="AS21" s="3">
        <f t="shared" si="42"/>
        <v>0.18231507333594557</v>
      </c>
      <c r="AT21" s="3">
        <f t="shared" si="42"/>
        <v>0.18773593365940036</v>
      </c>
      <c r="AU21" s="3">
        <f t="shared" si="42"/>
        <v>0.1931052616362946</v>
      </c>
      <c r="AW21" s="3" t="s">
        <v>46</v>
      </c>
      <c r="AX21" s="3">
        <v>-0.01</v>
      </c>
    </row>
    <row r="22" spans="1:50" s="3" customFormat="1" x14ac:dyDescent="0.2">
      <c r="A22" s="3" t="s">
        <v>14</v>
      </c>
      <c r="B22" s="3">
        <f t="shared" ref="B22:P22" si="43">+B12/B11</f>
        <v>0.26420100192202484</v>
      </c>
      <c r="C22" s="3">
        <f t="shared" si="43"/>
        <v>0.21140304577904967</v>
      </c>
      <c r="D22" s="3">
        <f t="shared" si="43"/>
        <v>0.12318703208645254</v>
      </c>
      <c r="E22" s="3">
        <f t="shared" si="43"/>
        <v>0.16102405665554059</v>
      </c>
      <c r="F22" s="3">
        <f t="shared" si="43"/>
        <v>0.23768832941790988</v>
      </c>
      <c r="G22" s="3">
        <f t="shared" si="43"/>
        <v>0.2784732242417301</v>
      </c>
      <c r="H22" s="3">
        <f t="shared" si="43"/>
        <v>0.23041839908816425</v>
      </c>
      <c r="I22" s="3">
        <f t="shared" si="43"/>
        <v>0.27634951825529719</v>
      </c>
      <c r="J22" s="3">
        <f t="shared" si="43"/>
        <v>0.16431766126707481</v>
      </c>
      <c r="K22" s="3">
        <f t="shared" si="43"/>
        <v>0.20362832346450779</v>
      </c>
      <c r="L22" s="3">
        <f t="shared" si="43"/>
        <v>0.22725026090985861</v>
      </c>
      <c r="M22" s="3">
        <f t="shared" si="43"/>
        <v>0.22856533393170911</v>
      </c>
      <c r="N22" s="3">
        <f t="shared" si="43"/>
        <v>0.21241620606453482</v>
      </c>
      <c r="O22" s="3">
        <f t="shared" si="43"/>
        <v>0.25775133997021749</v>
      </c>
      <c r="P22" s="3">
        <f t="shared" si="43"/>
        <v>0.12895376373928166</v>
      </c>
      <c r="S22" s="3">
        <f>+TRIMMEAN(U22:AD22,80%)</f>
        <v>0.2317056310080563</v>
      </c>
      <c r="U22" s="3">
        <f t="shared" ref="U22:AE22" si="44">+U12/U11</f>
        <v>0.21173483861240933</v>
      </c>
      <c r="V22" s="3">
        <f t="shared" si="44"/>
        <v>0.2600083243678184</v>
      </c>
      <c r="W22" s="3">
        <f t="shared" si="44"/>
        <v>0.23158176397066871</v>
      </c>
      <c r="X22" s="3">
        <f t="shared" si="44"/>
        <v>0.2634580765513907</v>
      </c>
      <c r="Y22" s="3">
        <f t="shared" si="44"/>
        <v>0.28482722201522875</v>
      </c>
      <c r="Z22" s="3">
        <f t="shared" si="44"/>
        <v>0.23176437903704358</v>
      </c>
      <c r="AA22" s="3">
        <f t="shared" si="44"/>
        <v>0.23164688297906902</v>
      </c>
      <c r="AB22" s="3">
        <f t="shared" si="44"/>
        <v>0.22801564825256584</v>
      </c>
      <c r="AC22" s="3">
        <f t="shared" si="44"/>
        <v>0.25835466445497035</v>
      </c>
      <c r="AD22" s="3">
        <f t="shared" si="44"/>
        <v>0.20796585955031205</v>
      </c>
      <c r="AE22" s="3">
        <f t="shared" si="44"/>
        <v>0.23</v>
      </c>
      <c r="AF22" s="3">
        <f t="shared" ref="AF22:AU22" si="45">+AF12/AF11</f>
        <v>0.23</v>
      </c>
      <c r="AG22" s="3">
        <f t="shared" si="45"/>
        <v>0.23</v>
      </c>
      <c r="AH22" s="3">
        <f t="shared" si="45"/>
        <v>0.23</v>
      </c>
      <c r="AI22" s="3">
        <f t="shared" si="45"/>
        <v>0.23</v>
      </c>
      <c r="AJ22" s="3">
        <f t="shared" si="45"/>
        <v>0.23</v>
      </c>
      <c r="AK22" s="3">
        <f t="shared" si="45"/>
        <v>0.22999999999999998</v>
      </c>
      <c r="AL22" s="3">
        <f t="shared" si="45"/>
        <v>0.23</v>
      </c>
      <c r="AM22" s="3">
        <f t="shared" si="45"/>
        <v>0.23</v>
      </c>
      <c r="AN22" s="3">
        <f t="shared" si="45"/>
        <v>0.23</v>
      </c>
      <c r="AO22" s="3">
        <f t="shared" si="45"/>
        <v>0.23</v>
      </c>
      <c r="AP22" s="3">
        <f t="shared" si="45"/>
        <v>0.23</v>
      </c>
      <c r="AQ22" s="3">
        <f t="shared" si="45"/>
        <v>0.23</v>
      </c>
      <c r="AR22" s="3">
        <f t="shared" si="45"/>
        <v>0.23</v>
      </c>
      <c r="AS22" s="3">
        <f t="shared" si="45"/>
        <v>0.23</v>
      </c>
      <c r="AT22" s="3">
        <f t="shared" si="45"/>
        <v>0.23</v>
      </c>
      <c r="AU22" s="3">
        <f t="shared" si="45"/>
        <v>0.23</v>
      </c>
      <c r="AW22" s="3" t="s">
        <v>47</v>
      </c>
      <c r="AX22" s="3">
        <v>0.12</v>
      </c>
    </row>
    <row r="23" spans="1:50" s="3" customFormat="1" x14ac:dyDescent="0.2">
      <c r="AW23" s="3" t="s">
        <v>48</v>
      </c>
      <c r="AX23" s="1">
        <f>+NPV(AX22,AE13:ER13)</f>
        <v>80978556.14794375</v>
      </c>
    </row>
    <row r="24" spans="1:50" s="5" customFormat="1" x14ac:dyDescent="0.2">
      <c r="A24" s="5" t="s">
        <v>15</v>
      </c>
      <c r="F24" s="5">
        <f t="shared" ref="F24:P24" si="46">+F3/B3-1</f>
        <v>3.4147640195846041E-2</v>
      </c>
      <c r="G24" s="5">
        <f t="shared" si="46"/>
        <v>0.16692976560986517</v>
      </c>
      <c r="H24" s="5">
        <f t="shared" si="46"/>
        <v>0.16638135079644134</v>
      </c>
      <c r="I24" s="5">
        <f t="shared" si="46"/>
        <v>5.2726420412005037E-2</v>
      </c>
      <c r="J24" s="5">
        <f t="shared" si="46"/>
        <v>0.11420139528371887</v>
      </c>
      <c r="K24" s="5">
        <f t="shared" si="46"/>
        <v>-6.224582107246146E-2</v>
      </c>
      <c r="L24" s="5">
        <f t="shared" si="46"/>
        <v>2.8015247098750251E-2</v>
      </c>
      <c r="M24" s="5">
        <f t="shared" si="46"/>
        <v>1.7993186236878067E-2</v>
      </c>
      <c r="N24" s="5">
        <f t="shared" si="46"/>
        <v>3.6547555301878365E-2</v>
      </c>
      <c r="O24" s="5">
        <f t="shared" si="46"/>
        <v>0.17201815662651065</v>
      </c>
      <c r="P24" s="5">
        <f t="shared" si="46"/>
        <v>0.16616646991256201</v>
      </c>
      <c r="S24" s="3">
        <f>+TRIMMEAN(V24:AD24,80%)</f>
        <v>9.3119230491030949E-2</v>
      </c>
      <c r="V24" s="5">
        <f t="shared" ref="V24:AE24" si="47">+V3/U3-1</f>
        <v>4.5849270246044904E-2</v>
      </c>
      <c r="W24" s="5">
        <f t="shared" si="47"/>
        <v>0.23829498958357731</v>
      </c>
      <c r="X24" s="5">
        <f t="shared" si="47"/>
        <v>0.1344261274563181</v>
      </c>
      <c r="Y24" s="5">
        <f t="shared" si="47"/>
        <v>0.15584278533611085</v>
      </c>
      <c r="Z24" s="5">
        <f t="shared" si="47"/>
        <v>4.0145671824877383E-2</v>
      </c>
      <c r="AA24" s="5">
        <f t="shared" si="47"/>
        <v>-2.1967932758443554E-2</v>
      </c>
      <c r="AB24" s="5">
        <f t="shared" si="47"/>
        <v>0.1400339525730856</v>
      </c>
      <c r="AC24" s="5">
        <f t="shared" si="47"/>
        <v>9.9082293770729857E-2</v>
      </c>
      <c r="AD24" s="5">
        <f t="shared" si="47"/>
        <v>2.6593349052402182E-2</v>
      </c>
      <c r="AE24" s="5">
        <f t="shared" si="47"/>
        <v>8.0000000000000071E-2</v>
      </c>
      <c r="AF24" s="5">
        <f t="shared" ref="AF24:AU24" si="48">+AF3/AE3-1</f>
        <v>8.0000000000000071E-2</v>
      </c>
      <c r="AG24" s="5">
        <f t="shared" si="48"/>
        <v>8.0000000000000071E-2</v>
      </c>
      <c r="AH24" s="5">
        <f t="shared" si="48"/>
        <v>8.0000000000000071E-2</v>
      </c>
      <c r="AI24" s="5">
        <f t="shared" si="48"/>
        <v>8.0000000000000071E-2</v>
      </c>
      <c r="AJ24" s="5">
        <f t="shared" si="48"/>
        <v>8.0000000000000071E-2</v>
      </c>
      <c r="AK24" s="5">
        <f t="shared" si="48"/>
        <v>8.0000000000000071E-2</v>
      </c>
      <c r="AL24" s="5">
        <f t="shared" si="48"/>
        <v>8.0000000000000071E-2</v>
      </c>
      <c r="AM24" s="5">
        <f t="shared" si="48"/>
        <v>8.0000000000000071E-2</v>
      </c>
      <c r="AN24" s="5">
        <f t="shared" si="48"/>
        <v>8.0000000000000071E-2</v>
      </c>
      <c r="AO24" s="5">
        <f t="shared" si="48"/>
        <v>8.0000000000000071E-2</v>
      </c>
      <c r="AP24" s="5">
        <f t="shared" si="48"/>
        <v>8.0000000000000071E-2</v>
      </c>
      <c r="AQ24" s="5">
        <f t="shared" si="48"/>
        <v>8.0000000000000071E-2</v>
      </c>
      <c r="AR24" s="5">
        <f t="shared" si="48"/>
        <v>8.0000000000000071E-2</v>
      </c>
      <c r="AS24" s="5">
        <f t="shared" si="48"/>
        <v>8.0000000000000071E-2</v>
      </c>
      <c r="AT24" s="5">
        <f t="shared" si="48"/>
        <v>8.0000000000000071E-2</v>
      </c>
      <c r="AU24" s="5">
        <f t="shared" si="48"/>
        <v>8.0000000000000071E-2</v>
      </c>
      <c r="AW24" s="3" t="s">
        <v>49</v>
      </c>
      <c r="AX24" s="1">
        <f>+AX23+Main!K6-Main!K7</f>
        <v>76445733.233341739</v>
      </c>
    </row>
    <row r="25" spans="1:50" s="5" customFormat="1" x14ac:dyDescent="0.2">
      <c r="AW25" s="3" t="s">
        <v>32</v>
      </c>
      <c r="AX25" s="4">
        <f>+AX24/Main!K4</f>
        <v>3419.0598815487133</v>
      </c>
    </row>
    <row r="26" spans="1:50" x14ac:dyDescent="0.2">
      <c r="A26" s="1" t="s">
        <v>44</v>
      </c>
      <c r="P26" s="3">
        <f>+SUM(M10:P10)/P27</f>
        <v>3.4727240749448392E-2</v>
      </c>
      <c r="AW26" s="3" t="s">
        <v>50</v>
      </c>
      <c r="AX26" s="3">
        <f>+AX25/Main!K3-1</f>
        <v>0.35676979426536248</v>
      </c>
    </row>
    <row r="27" spans="1:50" x14ac:dyDescent="0.2">
      <c r="A27" s="1" t="s">
        <v>43</v>
      </c>
      <c r="P27" s="1">
        <f>+P28-P30</f>
        <v>-4532822.9146020003</v>
      </c>
      <c r="AD27" s="1">
        <f>+P27</f>
        <v>-4532822.9146020003</v>
      </c>
      <c r="AE27" s="1">
        <f>+AE13+AD27</f>
        <v>-1116405.7894996339</v>
      </c>
      <c r="AF27" s="1">
        <f t="shared" ref="AF27:AU27" si="49">+AF13+AE27</f>
        <v>2802801.8637132244</v>
      </c>
      <c r="AG27" s="1">
        <f t="shared" si="49"/>
        <v>7280718.1081748838</v>
      </c>
      <c r="AH27" s="1">
        <f t="shared" si="49"/>
        <v>12378839.57427489</v>
      </c>
      <c r="AI27" s="1">
        <f t="shared" si="49"/>
        <v>18164766.066875078</v>
      </c>
      <c r="AJ27" s="1">
        <f t="shared" si="49"/>
        <v>24712772.699774716</v>
      </c>
      <c r="AK27" s="1">
        <f t="shared" si="49"/>
        <v>32104433.75423101</v>
      </c>
      <c r="AL27" s="1">
        <f t="shared" si="49"/>
        <v>40429302.822109379</v>
      </c>
      <c r="AM27" s="1">
        <f t="shared" si="49"/>
        <v>49785654.189091504</v>
      </c>
      <c r="AN27" s="1">
        <f t="shared" si="49"/>
        <v>60281290.841941603</v>
      </c>
      <c r="AO27" s="1">
        <f t="shared" si="49"/>
        <v>72034424.948971331</v>
      </c>
      <c r="AP27" s="1">
        <f t="shared" si="49"/>
        <v>85174637.167638674</v>
      </c>
      <c r="AQ27" s="1">
        <f t="shared" si="49"/>
        <v>99843921.681012243</v>
      </c>
      <c r="AR27" s="1">
        <f t="shared" si="49"/>
        <v>116197824.45925498</v>
      </c>
      <c r="AS27" s="1">
        <f t="shared" si="49"/>
        <v>134406682.88726008</v>
      </c>
      <c r="AT27" s="1">
        <f t="shared" si="49"/>
        <v>154656975.59936431</v>
      </c>
      <c r="AU27" s="1">
        <f t="shared" si="49"/>
        <v>177152792.12128332</v>
      </c>
    </row>
    <row r="28" spans="1:50" x14ac:dyDescent="0.2">
      <c r="A28" s="1" t="s">
        <v>34</v>
      </c>
      <c r="P28" s="1">
        <v>4527820.3270260002</v>
      </c>
    </row>
    <row r="30" spans="1:50" x14ac:dyDescent="0.2">
      <c r="A30" s="1" t="s">
        <v>35</v>
      </c>
      <c r="P30" s="1">
        <f>3670000+685143.868068+294657.526917+2377765.715055+2033076.131588</f>
        <v>9060643.2416280005</v>
      </c>
    </row>
    <row r="33" spans="1:16" x14ac:dyDescent="0.2">
      <c r="A33" s="1" t="s">
        <v>53</v>
      </c>
      <c r="P33" s="1">
        <f>+SUM(M13:P13)</f>
        <v>3214324.6100290017</v>
      </c>
    </row>
    <row r="35" spans="1:16" x14ac:dyDescent="0.2">
      <c r="A35" s="1" t="s">
        <v>54</v>
      </c>
    </row>
  </sheetData>
  <hyperlinks>
    <hyperlink ref="A1" location="Main!A1" display="main" xr:uid="{171E1A85-8A34-4D93-9EA9-3A54EFA4E12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2025-01-26T05:53:46Z</dcterms:created>
  <dcterms:modified xsi:type="dcterms:W3CDTF">2025-01-26T13:52:19Z</dcterms:modified>
</cp:coreProperties>
</file>