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Food Major\"/>
    </mc:Choice>
  </mc:AlternateContent>
  <xr:revisionPtr revIDLastSave="0" documentId="13_ncr:1_{50FA7B00-D771-45D5-A57E-2C5B2261B391}" xr6:coauthVersionLast="47" xr6:coauthVersionMax="47" xr10:uidLastSave="{00000000-0000-0000-0000-000000000000}"/>
  <bookViews>
    <workbookView xWindow="14460" yWindow="75" windowWidth="13995" windowHeight="15300" xr2:uid="{9DB66A7F-2615-43D4-82C9-CAB8AE6C9A68}"/>
  </bookViews>
  <sheets>
    <sheet name="Main" sheetId="1" r:id="rId1"/>
    <sheet name="Model" sheetId="2" r:id="rId2"/>
    <sheet name="Bra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8" i="1"/>
  <c r="M7" i="1"/>
  <c r="M4" i="1"/>
  <c r="M88" i="2"/>
  <c r="M87" i="2"/>
  <c r="M86" i="2"/>
  <c r="M85" i="2"/>
  <c r="M84" i="2"/>
  <c r="M83" i="2"/>
  <c r="M82" i="2"/>
  <c r="M81" i="2"/>
  <c r="M79" i="2"/>
  <c r="M78" i="2"/>
  <c r="M77" i="2"/>
  <c r="M76" i="2"/>
  <c r="M75" i="2"/>
  <c r="M74" i="2"/>
  <c r="M72" i="2"/>
  <c r="M73" i="2"/>
  <c r="M69" i="2"/>
  <c r="M68" i="2"/>
  <c r="M67" i="2"/>
  <c r="M66" i="2"/>
  <c r="M65" i="2"/>
  <c r="M64" i="2"/>
  <c r="M63" i="2"/>
  <c r="M62" i="2"/>
  <c r="M61" i="2"/>
  <c r="M60" i="2"/>
  <c r="M59" i="2"/>
  <c r="M58" i="2"/>
  <c r="L88" i="2"/>
  <c r="L86" i="2"/>
  <c r="L84" i="2"/>
  <c r="L81" i="2"/>
  <c r="L79" i="2"/>
  <c r="L70" i="2"/>
  <c r="L58" i="2"/>
  <c r="N88" i="2"/>
  <c r="N86" i="2"/>
  <c r="N84" i="2"/>
  <c r="N81" i="2"/>
  <c r="N79" i="2"/>
  <c r="N70" i="2"/>
  <c r="M45" i="2"/>
  <c r="M42" i="2"/>
  <c r="M41" i="2"/>
  <c r="M36" i="2"/>
  <c r="M32" i="2"/>
  <c r="M28" i="2"/>
  <c r="L7" i="1"/>
  <c r="N42" i="2"/>
  <c r="N45" i="2"/>
  <c r="N41" i="2"/>
  <c r="N36" i="2"/>
  <c r="N32" i="2"/>
  <c r="N28" i="2"/>
  <c r="F22" i="1"/>
  <c r="H22" i="1" s="1"/>
  <c r="H11" i="1"/>
  <c r="H21" i="1"/>
  <c r="H20" i="1"/>
  <c r="H19" i="1"/>
  <c r="H18" i="1"/>
  <c r="H17" i="1"/>
  <c r="H16" i="1"/>
  <c r="H15" i="1"/>
  <c r="H14" i="1"/>
  <c r="G21" i="1"/>
  <c r="G20" i="1"/>
  <c r="G19" i="1"/>
  <c r="G18" i="1"/>
  <c r="G17" i="1"/>
  <c r="G16" i="1"/>
  <c r="G15" i="1"/>
  <c r="G14" i="1"/>
  <c r="E22" i="1"/>
  <c r="H10" i="1"/>
  <c r="H9" i="1"/>
  <c r="H8" i="1"/>
  <c r="H7" i="1"/>
  <c r="H6" i="1"/>
  <c r="H5" i="1"/>
  <c r="H4" i="1"/>
  <c r="G10" i="1"/>
  <c r="G9" i="1"/>
  <c r="G8" i="1"/>
  <c r="G7" i="1"/>
  <c r="F11" i="1"/>
  <c r="E11" i="1"/>
  <c r="AD7" i="2"/>
  <c r="AD8" i="2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D6" i="2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D3" i="2"/>
  <c r="AD10" i="2" s="1"/>
  <c r="M40" i="2" l="1"/>
  <c r="N40" i="2"/>
  <c r="N51" i="2"/>
  <c r="N53" i="2" s="1"/>
  <c r="N27" i="2"/>
  <c r="M51" i="2"/>
  <c r="M53" i="2" s="1"/>
  <c r="M27" i="2"/>
  <c r="AE3" i="2"/>
  <c r="G4" i="1"/>
  <c r="G5" i="1"/>
  <c r="G6" i="1"/>
  <c r="AD17" i="2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Q3" i="2"/>
  <c r="Q8" i="2"/>
  <c r="Q6" i="2"/>
  <c r="Q7" i="2"/>
  <c r="Q17" i="2"/>
  <c r="AE10" i="2" l="1"/>
  <c r="AF3" i="2"/>
  <c r="AD24" i="2"/>
  <c r="AD14" i="2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G3" i="2" l="1"/>
  <c r="AF10" i="2"/>
  <c r="C72" i="2"/>
  <c r="C70" i="2"/>
  <c r="E72" i="2"/>
  <c r="E70" i="2"/>
  <c r="G72" i="2"/>
  <c r="G70" i="2"/>
  <c r="C17" i="2"/>
  <c r="C14" i="2"/>
  <c r="C13" i="2"/>
  <c r="C8" i="2"/>
  <c r="C7" i="2"/>
  <c r="C6" i="2"/>
  <c r="C4" i="2"/>
  <c r="E17" i="2"/>
  <c r="E14" i="2"/>
  <c r="E13" i="2"/>
  <c r="E8" i="2"/>
  <c r="E7" i="2"/>
  <c r="E6" i="2"/>
  <c r="E4" i="2"/>
  <c r="G17" i="2"/>
  <c r="G14" i="2"/>
  <c r="G13" i="2"/>
  <c r="G8" i="2"/>
  <c r="G7" i="2"/>
  <c r="G6" i="2"/>
  <c r="G4" i="2"/>
  <c r="C3" i="2"/>
  <c r="E3" i="2"/>
  <c r="G3" i="2"/>
  <c r="Z90" i="2"/>
  <c r="Y90" i="2"/>
  <c r="X90" i="2"/>
  <c r="W90" i="2"/>
  <c r="V90" i="2"/>
  <c r="U90" i="2"/>
  <c r="T90" i="2"/>
  <c r="S90" i="2"/>
  <c r="S11" i="2"/>
  <c r="S24" i="2"/>
  <c r="S9" i="2"/>
  <c r="S5" i="2"/>
  <c r="T11" i="2"/>
  <c r="T24" i="2"/>
  <c r="T9" i="2"/>
  <c r="T5" i="2"/>
  <c r="T19" i="2" s="1"/>
  <c r="U11" i="2"/>
  <c r="U24" i="2"/>
  <c r="U9" i="2"/>
  <c r="U5" i="2"/>
  <c r="V11" i="2"/>
  <c r="V24" i="2"/>
  <c r="V9" i="2"/>
  <c r="V5" i="2"/>
  <c r="V19" i="2" s="1"/>
  <c r="W11" i="2"/>
  <c r="W24" i="2"/>
  <c r="W9" i="2"/>
  <c r="W5" i="2"/>
  <c r="W19" i="2" s="1"/>
  <c r="X11" i="2"/>
  <c r="X24" i="2"/>
  <c r="X9" i="2"/>
  <c r="X5" i="2"/>
  <c r="Y11" i="2"/>
  <c r="Y24" i="2"/>
  <c r="Y9" i="2"/>
  <c r="Y5" i="2"/>
  <c r="Y19" i="2" s="1"/>
  <c r="Z11" i="2"/>
  <c r="Z24" i="2"/>
  <c r="Z9" i="2"/>
  <c r="Z5" i="2"/>
  <c r="B90" i="2"/>
  <c r="B11" i="2"/>
  <c r="B9" i="2"/>
  <c r="B5" i="2"/>
  <c r="B19" i="2" s="1"/>
  <c r="D90" i="2"/>
  <c r="F90" i="2"/>
  <c r="D11" i="2"/>
  <c r="F24" i="2"/>
  <c r="D24" i="2"/>
  <c r="D9" i="2"/>
  <c r="D5" i="2"/>
  <c r="D19" i="2" s="1"/>
  <c r="F11" i="2"/>
  <c r="F9" i="2"/>
  <c r="F5" i="2"/>
  <c r="I72" i="2"/>
  <c r="I70" i="2"/>
  <c r="K72" i="2"/>
  <c r="K70" i="2"/>
  <c r="M70" i="2"/>
  <c r="AA90" i="2"/>
  <c r="AC90" i="2"/>
  <c r="AB90" i="2"/>
  <c r="H90" i="2"/>
  <c r="J90" i="2"/>
  <c r="I17" i="2"/>
  <c r="I14" i="2"/>
  <c r="I13" i="2"/>
  <c r="I8" i="2"/>
  <c r="I7" i="2"/>
  <c r="I6" i="2"/>
  <c r="I4" i="2"/>
  <c r="I3" i="2"/>
  <c r="K17" i="2"/>
  <c r="K14" i="2"/>
  <c r="K13" i="2"/>
  <c r="K8" i="2"/>
  <c r="K7" i="2"/>
  <c r="K6" i="2"/>
  <c r="K4" i="2"/>
  <c r="K3" i="2"/>
  <c r="AA11" i="2"/>
  <c r="AA24" i="2"/>
  <c r="AA9" i="2"/>
  <c r="AA5" i="2"/>
  <c r="AA19" i="2" s="1"/>
  <c r="H11" i="2"/>
  <c r="H24" i="2"/>
  <c r="H9" i="2"/>
  <c r="H5" i="2"/>
  <c r="J11" i="2"/>
  <c r="J24" i="2"/>
  <c r="J9" i="2"/>
  <c r="J5" i="2"/>
  <c r="J19" i="2" s="1"/>
  <c r="M17" i="2"/>
  <c r="M14" i="2"/>
  <c r="M8" i="2"/>
  <c r="M7" i="2"/>
  <c r="M6" i="2"/>
  <c r="M4" i="2"/>
  <c r="M3" i="2"/>
  <c r="AB11" i="2"/>
  <c r="AB24" i="2"/>
  <c r="AB9" i="2"/>
  <c r="AB5" i="2"/>
  <c r="AC24" i="2"/>
  <c r="AC11" i="2"/>
  <c r="AC9" i="2"/>
  <c r="AC5" i="2"/>
  <c r="L90" i="2"/>
  <c r="N90" i="2"/>
  <c r="N13" i="2"/>
  <c r="L13" i="2"/>
  <c r="M13" i="2" s="1"/>
  <c r="L11" i="2"/>
  <c r="L24" i="2"/>
  <c r="L9" i="2"/>
  <c r="L5" i="2"/>
  <c r="C5" i="2" l="1"/>
  <c r="C19" i="2" s="1"/>
  <c r="G11" i="2"/>
  <c r="K9" i="2"/>
  <c r="M5" i="2"/>
  <c r="M19" i="2" s="1"/>
  <c r="AH3" i="2"/>
  <c r="AG10" i="2"/>
  <c r="G9" i="2"/>
  <c r="C90" i="2"/>
  <c r="D91" i="2" s="1"/>
  <c r="G5" i="2"/>
  <c r="G19" i="2" s="1"/>
  <c r="E90" i="2"/>
  <c r="E91" i="2" s="1"/>
  <c r="I90" i="2"/>
  <c r="J91" i="2" s="1"/>
  <c r="E24" i="2"/>
  <c r="C11" i="2"/>
  <c r="M9" i="2"/>
  <c r="I5" i="2"/>
  <c r="I19" i="2" s="1"/>
  <c r="M90" i="2"/>
  <c r="M91" i="2" s="1"/>
  <c r="K5" i="2"/>
  <c r="K19" i="2" s="1"/>
  <c r="G90" i="2"/>
  <c r="G91" i="2" s="1"/>
  <c r="E11" i="2"/>
  <c r="C9" i="2"/>
  <c r="I9" i="2"/>
  <c r="I11" i="2"/>
  <c r="K90" i="2"/>
  <c r="L91" i="2" s="1"/>
  <c r="E9" i="2"/>
  <c r="G24" i="2"/>
  <c r="AE24" i="2"/>
  <c r="E5" i="2"/>
  <c r="E19" i="2" s="1"/>
  <c r="M11" i="2"/>
  <c r="M26" i="2" s="1"/>
  <c r="K11" i="2"/>
  <c r="AD5" i="2"/>
  <c r="AD9" i="2" s="1"/>
  <c r="K24" i="2"/>
  <c r="S10" i="2"/>
  <c r="S12" i="2" s="1"/>
  <c r="S19" i="2"/>
  <c r="I24" i="2"/>
  <c r="M24" i="2"/>
  <c r="T10" i="2"/>
  <c r="U10" i="2"/>
  <c r="U20" i="2" s="1"/>
  <c r="U19" i="2"/>
  <c r="V10" i="2"/>
  <c r="W10" i="2"/>
  <c r="X10" i="2"/>
  <c r="X20" i="2" s="1"/>
  <c r="X19" i="2"/>
  <c r="Y10" i="2"/>
  <c r="Z10" i="2"/>
  <c r="Z20" i="2" s="1"/>
  <c r="Z19" i="2"/>
  <c r="B10" i="2"/>
  <c r="D10" i="2"/>
  <c r="F10" i="2"/>
  <c r="F12" i="2" s="1"/>
  <c r="F19" i="2"/>
  <c r="AA10" i="2"/>
  <c r="H10" i="2"/>
  <c r="H12" i="2" s="1"/>
  <c r="H19" i="2"/>
  <c r="J10" i="2"/>
  <c r="J20" i="2" s="1"/>
  <c r="AB10" i="2"/>
  <c r="AB12" i="2" s="1"/>
  <c r="AB15" i="2" s="1"/>
  <c r="AB16" i="2" s="1"/>
  <c r="AB19" i="2"/>
  <c r="AC10" i="2"/>
  <c r="AC12" i="2" s="1"/>
  <c r="AC15" i="2" s="1"/>
  <c r="AC19" i="2"/>
  <c r="L10" i="2"/>
  <c r="L20" i="2" s="1"/>
  <c r="L19" i="2"/>
  <c r="N24" i="2"/>
  <c r="N11" i="2"/>
  <c r="N9" i="2"/>
  <c r="N5" i="2"/>
  <c r="N19" i="2" s="1"/>
  <c r="M6" i="1"/>
  <c r="L8" i="1"/>
  <c r="L6" i="1"/>
  <c r="L9" i="1" s="1"/>
  <c r="L11" i="1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F91" i="2" l="1"/>
  <c r="C91" i="2"/>
  <c r="C10" i="2"/>
  <c r="C20" i="2" s="1"/>
  <c r="M10" i="2"/>
  <c r="M12" i="2" s="1"/>
  <c r="H20" i="2"/>
  <c r="AI3" i="2"/>
  <c r="AH10" i="2"/>
  <c r="G10" i="2"/>
  <c r="G20" i="2" s="1"/>
  <c r="M9" i="1"/>
  <c r="M11" i="1" s="1"/>
  <c r="AD4" i="2"/>
  <c r="AD19" i="2"/>
  <c r="L12" i="2"/>
  <c r="L22" i="2" s="1"/>
  <c r="K10" i="2"/>
  <c r="K12" i="2" s="1"/>
  <c r="H91" i="2"/>
  <c r="N91" i="2"/>
  <c r="I10" i="2"/>
  <c r="I20" i="2" s="1"/>
  <c r="K91" i="2"/>
  <c r="I91" i="2"/>
  <c r="E10" i="2"/>
  <c r="AF24" i="2"/>
  <c r="AE5" i="2"/>
  <c r="G12" i="2"/>
  <c r="S20" i="2"/>
  <c r="S22" i="2"/>
  <c r="S15" i="2"/>
  <c r="F20" i="2"/>
  <c r="N10" i="2"/>
  <c r="N12" i="2" s="1"/>
  <c r="AC20" i="2"/>
  <c r="T12" i="2"/>
  <c r="T20" i="2"/>
  <c r="U12" i="2"/>
  <c r="U22" i="2" s="1"/>
  <c r="V20" i="2"/>
  <c r="V12" i="2"/>
  <c r="W20" i="2"/>
  <c r="W12" i="2"/>
  <c r="W22" i="2" s="1"/>
  <c r="X12" i="2"/>
  <c r="X15" i="2" s="1"/>
  <c r="Y12" i="2"/>
  <c r="Y20" i="2"/>
  <c r="Z12" i="2"/>
  <c r="Z22" i="2" s="1"/>
  <c r="B20" i="2"/>
  <c r="B12" i="2"/>
  <c r="D12" i="2"/>
  <c r="D20" i="2"/>
  <c r="F15" i="2"/>
  <c r="F22" i="2"/>
  <c r="AA20" i="2"/>
  <c r="AA12" i="2"/>
  <c r="H22" i="2"/>
  <c r="H15" i="2"/>
  <c r="J12" i="2"/>
  <c r="J15" i="2" s="1"/>
  <c r="AB22" i="2"/>
  <c r="AB20" i="2"/>
  <c r="AB21" i="2"/>
  <c r="AC22" i="2"/>
  <c r="AC21" i="2"/>
  <c r="AC16" i="2"/>
  <c r="C12" i="2" l="1"/>
  <c r="C15" i="2" s="1"/>
  <c r="J16" i="2"/>
  <c r="M20" i="2"/>
  <c r="I12" i="2"/>
  <c r="I15" i="2" s="1"/>
  <c r="L15" i="2"/>
  <c r="L16" i="2" s="1"/>
  <c r="K20" i="2"/>
  <c r="AE19" i="2"/>
  <c r="AE9" i="2"/>
  <c r="AE7" i="2" s="1"/>
  <c r="AJ3" i="2"/>
  <c r="AI10" i="2"/>
  <c r="AC27" i="2"/>
  <c r="AD11" i="2" s="1"/>
  <c r="N26" i="2"/>
  <c r="AD20" i="2"/>
  <c r="AE4" i="2"/>
  <c r="Z15" i="2"/>
  <c r="Z16" i="2" s="1"/>
  <c r="AE20" i="2"/>
  <c r="AG24" i="2"/>
  <c r="AF5" i="2"/>
  <c r="AF9" i="2" s="1"/>
  <c r="AF7" i="2" s="1"/>
  <c r="G22" i="2"/>
  <c r="G15" i="2"/>
  <c r="E12" i="2"/>
  <c r="E20" i="2"/>
  <c r="S21" i="2"/>
  <c r="S16" i="2"/>
  <c r="N15" i="2"/>
  <c r="N20" i="2"/>
  <c r="M15" i="2"/>
  <c r="M22" i="2"/>
  <c r="K15" i="2"/>
  <c r="K22" i="2"/>
  <c r="T22" i="2"/>
  <c r="T15" i="2"/>
  <c r="U15" i="2"/>
  <c r="U21" i="2" s="1"/>
  <c r="V22" i="2"/>
  <c r="V15" i="2"/>
  <c r="W15" i="2"/>
  <c r="X22" i="2"/>
  <c r="X21" i="2"/>
  <c r="X16" i="2"/>
  <c r="Y22" i="2"/>
  <c r="Y15" i="2"/>
  <c r="B22" i="2"/>
  <c r="B15" i="2"/>
  <c r="D15" i="2"/>
  <c r="D22" i="2"/>
  <c r="F21" i="2"/>
  <c r="F16" i="2"/>
  <c r="AA22" i="2"/>
  <c r="AA15" i="2"/>
  <c r="H21" i="2"/>
  <c r="H16" i="2"/>
  <c r="J22" i="2"/>
  <c r="J21" i="2"/>
  <c r="N22" i="2"/>
  <c r="N16" i="2" l="1"/>
  <c r="N58" i="2"/>
  <c r="C22" i="2"/>
  <c r="N55" i="2"/>
  <c r="N56" i="2" s="1"/>
  <c r="M55" i="2"/>
  <c r="M56" i="2" s="1"/>
  <c r="I22" i="2"/>
  <c r="L21" i="2"/>
  <c r="AK3" i="2"/>
  <c r="AJ10" i="2"/>
  <c r="Z21" i="2"/>
  <c r="AW23" i="2"/>
  <c r="AD12" i="2"/>
  <c r="AD13" i="2" s="1"/>
  <c r="AD22" i="2" s="1"/>
  <c r="AF4" i="2"/>
  <c r="AF19" i="2"/>
  <c r="G21" i="2"/>
  <c r="G16" i="2"/>
  <c r="AF20" i="2"/>
  <c r="I21" i="2"/>
  <c r="I16" i="2"/>
  <c r="E15" i="2"/>
  <c r="E22" i="2"/>
  <c r="AH24" i="2"/>
  <c r="AG5" i="2"/>
  <c r="AG9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C21" i="2"/>
  <c r="C16" i="2"/>
  <c r="M21" i="2"/>
  <c r="M16" i="2"/>
  <c r="K16" i="2"/>
  <c r="K21" i="2"/>
  <c r="N21" i="2"/>
  <c r="T21" i="2"/>
  <c r="T16" i="2"/>
  <c r="U16" i="2"/>
  <c r="V21" i="2"/>
  <c r="V16" i="2"/>
  <c r="W21" i="2"/>
  <c r="W16" i="2"/>
  <c r="Y21" i="2"/>
  <c r="Y16" i="2"/>
  <c r="B21" i="2"/>
  <c r="B16" i="2"/>
  <c r="D21" i="2"/>
  <c r="D16" i="2"/>
  <c r="AA21" i="2"/>
  <c r="AA16" i="2"/>
  <c r="AL3" i="2" l="1"/>
  <c r="AK10" i="2"/>
  <c r="AG4" i="2"/>
  <c r="AG19" i="2"/>
  <c r="AG20" i="2"/>
  <c r="AD15" i="2"/>
  <c r="AI24" i="2"/>
  <c r="AH5" i="2"/>
  <c r="AH9" i="2" s="1"/>
  <c r="E16" i="2"/>
  <c r="E21" i="2"/>
  <c r="AM3" i="2" l="1"/>
  <c r="AL10" i="2"/>
  <c r="AD16" i="2"/>
  <c r="AD27" i="2"/>
  <c r="AE11" i="2" s="1"/>
  <c r="AD21" i="2"/>
  <c r="AH4" i="2"/>
  <c r="AH19" i="2"/>
  <c r="AH20" i="2"/>
  <c r="AJ24" i="2"/>
  <c r="AI5" i="2"/>
  <c r="AI19" i="2" l="1"/>
  <c r="AI9" i="2"/>
  <c r="AN3" i="2"/>
  <c r="AM10" i="2"/>
  <c r="AE12" i="2"/>
  <c r="AI20" i="2"/>
  <c r="AI4" i="2"/>
  <c r="AK24" i="2"/>
  <c r="AJ5" i="2"/>
  <c r="AJ9" i="2" s="1"/>
  <c r="AO3" i="2" l="1"/>
  <c r="AN10" i="2"/>
  <c r="AJ20" i="2"/>
  <c r="AJ19" i="2"/>
  <c r="AE13" i="2"/>
  <c r="AE22" i="2" s="1"/>
  <c r="AJ4" i="2"/>
  <c r="AL24" i="2"/>
  <c r="AK5" i="2"/>
  <c r="AK19" i="2" l="1"/>
  <c r="AK9" i="2"/>
  <c r="AP3" i="2"/>
  <c r="AO10" i="2"/>
  <c r="AE15" i="2"/>
  <c r="AK20" i="2"/>
  <c r="AK4" i="2"/>
  <c r="AM24" i="2"/>
  <c r="AL5" i="2"/>
  <c r="AL9" i="2" s="1"/>
  <c r="AQ3" i="2" l="1"/>
  <c r="AP10" i="2"/>
  <c r="AL20" i="2"/>
  <c r="AL19" i="2"/>
  <c r="AE21" i="2"/>
  <c r="AE16" i="2"/>
  <c r="AE27" i="2"/>
  <c r="AF11" i="2" s="1"/>
  <c r="AL4" i="2"/>
  <c r="AN24" i="2"/>
  <c r="AM5" i="2"/>
  <c r="AM19" i="2" l="1"/>
  <c r="AM9" i="2"/>
  <c r="AR3" i="2"/>
  <c r="AQ10" i="2"/>
  <c r="AF12" i="2"/>
  <c r="AM20" i="2"/>
  <c r="AM4" i="2"/>
  <c r="AO24" i="2"/>
  <c r="AN5" i="2"/>
  <c r="AN9" i="2" s="1"/>
  <c r="AS3" i="2" l="1"/>
  <c r="AR10" i="2"/>
  <c r="AN4" i="2"/>
  <c r="AN19" i="2"/>
  <c r="AF13" i="2"/>
  <c r="AF22" i="2" s="1"/>
  <c r="AP24" i="2"/>
  <c r="AO5" i="2"/>
  <c r="AO9" i="2" s="1"/>
  <c r="AN20" i="2"/>
  <c r="AT3" i="2" l="1"/>
  <c r="AT10" i="2" s="1"/>
  <c r="AS10" i="2"/>
  <c r="AO20" i="2"/>
  <c r="AF15" i="2"/>
  <c r="AO4" i="2"/>
  <c r="AO19" i="2"/>
  <c r="AQ24" i="2"/>
  <c r="AP5" i="2"/>
  <c r="AP9" i="2" s="1"/>
  <c r="AF21" i="2" l="1"/>
  <c r="AF16" i="2"/>
  <c r="AF27" i="2"/>
  <c r="AP4" i="2"/>
  <c r="AP19" i="2"/>
  <c r="AR24" i="2"/>
  <c r="AQ5" i="2"/>
  <c r="AQ9" i="2" s="1"/>
  <c r="AP20" i="2"/>
  <c r="AG11" i="2" l="1"/>
  <c r="AG12" i="2" s="1"/>
  <c r="AG13" i="2" s="1"/>
  <c r="AG22" i="2" s="1"/>
  <c r="AQ20" i="2"/>
  <c r="AQ4" i="2"/>
  <c r="AQ19" i="2"/>
  <c r="AS24" i="2"/>
  <c r="AR5" i="2"/>
  <c r="AR9" i="2" s="1"/>
  <c r="AG15" i="2" l="1"/>
  <c r="AR4" i="2"/>
  <c r="AR19" i="2"/>
  <c r="AR20" i="2"/>
  <c r="AT24" i="2"/>
  <c r="AS5" i="2"/>
  <c r="AS9" i="2" s="1"/>
  <c r="AG21" i="2" l="1"/>
  <c r="AG16" i="2"/>
  <c r="AG27" i="2"/>
  <c r="AS20" i="2"/>
  <c r="AS4" i="2"/>
  <c r="AS19" i="2"/>
  <c r="AT5" i="2"/>
  <c r="AT9" i="2" s="1"/>
  <c r="AH11" i="2" l="1"/>
  <c r="AH12" i="2" s="1"/>
  <c r="AH13" i="2" s="1"/>
  <c r="AH22" i="2" s="1"/>
  <c r="AT20" i="2"/>
  <c r="AT19" i="2"/>
  <c r="AT4" i="2"/>
  <c r="AH15" i="2" l="1"/>
  <c r="AH21" i="2" l="1"/>
  <c r="AH16" i="2"/>
  <c r="AH27" i="2"/>
  <c r="AI11" i="2" l="1"/>
  <c r="AI12" i="2" s="1"/>
  <c r="AI13" i="2" s="1"/>
  <c r="AI22" i="2" s="1"/>
  <c r="AI15" i="2" l="1"/>
  <c r="AI27" i="2" l="1"/>
  <c r="AJ11" i="2" s="1"/>
  <c r="AJ12" i="2" s="1"/>
  <c r="AJ13" i="2" s="1"/>
  <c r="AI16" i="2"/>
  <c r="AI21" i="2"/>
  <c r="AJ15" i="2" l="1"/>
  <c r="AJ22" i="2"/>
  <c r="AJ21" i="2" l="1"/>
  <c r="AJ16" i="2"/>
  <c r="AJ27" i="2"/>
  <c r="AK11" i="2" s="1"/>
  <c r="AK12" i="2" l="1"/>
  <c r="AK13" i="2" s="1"/>
  <c r="AK15" i="2" l="1"/>
  <c r="AK22" i="2"/>
  <c r="AK21" i="2" l="1"/>
  <c r="AK16" i="2"/>
  <c r="AK27" i="2"/>
  <c r="AL11" i="2" s="1"/>
  <c r="AL12" i="2" l="1"/>
  <c r="AL13" i="2" s="1"/>
  <c r="AL15" i="2" l="1"/>
  <c r="AL22" i="2"/>
  <c r="AL21" i="2" l="1"/>
  <c r="AL16" i="2"/>
  <c r="AL27" i="2"/>
  <c r="AM11" i="2" s="1"/>
  <c r="AM12" i="2" l="1"/>
  <c r="AM13" i="2" l="1"/>
  <c r="AM22" i="2" s="1"/>
  <c r="AM15" i="2" l="1"/>
  <c r="AM21" i="2" l="1"/>
  <c r="AM16" i="2"/>
  <c r="AM27" i="2"/>
  <c r="AN11" i="2" s="1"/>
  <c r="AN12" i="2" l="1"/>
  <c r="AN13" i="2" l="1"/>
  <c r="AN22" i="2" s="1"/>
  <c r="AN15" i="2" l="1"/>
  <c r="AN21" i="2" s="1"/>
  <c r="AN27" i="2" l="1"/>
  <c r="AN16" i="2"/>
  <c r="AO11" i="2" l="1"/>
  <c r="AO12" i="2" s="1"/>
  <c r="AO13" i="2" s="1"/>
  <c r="AO22" i="2" s="1"/>
  <c r="AO15" i="2" l="1"/>
  <c r="AO21" i="2" l="1"/>
  <c r="AO16" i="2"/>
  <c r="AO27" i="2"/>
  <c r="AP11" i="2" s="1"/>
  <c r="AP12" i="2" l="1"/>
  <c r="AP13" i="2" l="1"/>
  <c r="AP22" i="2" s="1"/>
  <c r="AP15" i="2" l="1"/>
  <c r="AP21" i="2" l="1"/>
  <c r="AP16" i="2"/>
  <c r="AP27" i="2"/>
  <c r="AQ11" i="2" s="1"/>
  <c r="AQ12" i="2" l="1"/>
  <c r="AQ13" i="2" s="1"/>
  <c r="AQ15" i="2" l="1"/>
  <c r="AQ22" i="2"/>
  <c r="AQ21" i="2" l="1"/>
  <c r="AQ16" i="2"/>
  <c r="AQ27" i="2"/>
  <c r="AR11" i="2" s="1"/>
  <c r="AR12" i="2" l="1"/>
  <c r="AR13" i="2" s="1"/>
  <c r="AR15" i="2" l="1"/>
  <c r="AR22" i="2"/>
  <c r="AR21" i="2" l="1"/>
  <c r="AR16" i="2"/>
  <c r="AR27" i="2"/>
  <c r="AS11" i="2" s="1"/>
  <c r="AS12" i="2" l="1"/>
  <c r="AS13" i="2" l="1"/>
  <c r="AS22" i="2" s="1"/>
  <c r="AS15" i="2" l="1"/>
  <c r="AS21" i="2" l="1"/>
  <c r="AS16" i="2"/>
  <c r="AS27" i="2"/>
  <c r="AT11" i="2" s="1"/>
  <c r="AT12" i="2" l="1"/>
  <c r="AT13" i="2" s="1"/>
  <c r="AT15" i="2" l="1"/>
  <c r="AT22" i="2"/>
  <c r="AU15" i="2" l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AW22" i="2" s="1"/>
  <c r="AW24" i="2" s="1"/>
  <c r="AW25" i="2" s="1"/>
  <c r="AW27" i="2" s="1"/>
  <c r="AT21" i="2"/>
  <c r="AT16" i="2"/>
  <c r="AT27" i="2"/>
</calcChain>
</file>

<file path=xl/sharedStrings.xml><?xml version="1.0" encoding="utf-8"?>
<sst xmlns="http://schemas.openxmlformats.org/spreadsheetml/2006/main" count="630" uniqueCount="589">
  <si>
    <t>Revenue</t>
  </si>
  <si>
    <t>COGS</t>
  </si>
  <si>
    <t>Gross profit</t>
  </si>
  <si>
    <t>SG&amp;A</t>
  </si>
  <si>
    <t>R&amp;D</t>
  </si>
  <si>
    <t>Operating expense</t>
  </si>
  <si>
    <t>Operating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</si>
  <si>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</si>
  <si>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</si>
  <si>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</si>
  <si>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</si>
  <si>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</si>
  <si>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</si>
  <si>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</si>
  <si>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</si>
  <si>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</si>
  <si>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</si>
  <si>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Price</t>
  </si>
  <si>
    <t>MC</t>
  </si>
  <si>
    <t>Cash</t>
  </si>
  <si>
    <t>Debt</t>
  </si>
  <si>
    <t>EV</t>
  </si>
  <si>
    <t>CHF</t>
  </si>
  <si>
    <t>USD</t>
  </si>
  <si>
    <t>Distribution</t>
  </si>
  <si>
    <t>H118</t>
  </si>
  <si>
    <t>H119</t>
  </si>
  <si>
    <t>H120</t>
  </si>
  <si>
    <t>H121</t>
  </si>
  <si>
    <t>H122</t>
  </si>
  <si>
    <t>H123</t>
  </si>
  <si>
    <t>H124</t>
  </si>
  <si>
    <t>FY19</t>
  </si>
  <si>
    <t>FY20</t>
  </si>
  <si>
    <t>FY21</t>
  </si>
  <si>
    <t>FY22</t>
  </si>
  <si>
    <t>FY23</t>
  </si>
  <si>
    <t>FY24</t>
  </si>
  <si>
    <t>H125</t>
  </si>
  <si>
    <t>FY25</t>
  </si>
  <si>
    <t>FY18</t>
  </si>
  <si>
    <t>Interest expense</t>
  </si>
  <si>
    <t>Joint ventures</t>
  </si>
  <si>
    <t>CFFO</t>
  </si>
  <si>
    <t>CapEx</t>
  </si>
  <si>
    <t>FCF</t>
  </si>
  <si>
    <t>TTM FCF</t>
  </si>
  <si>
    <t>Net cash</t>
  </si>
  <si>
    <t>ROIC</t>
  </si>
  <si>
    <t>Terminal</t>
  </si>
  <si>
    <t>Discount</t>
  </si>
  <si>
    <t>NPV</t>
  </si>
  <si>
    <t>Value</t>
  </si>
  <si>
    <t>Current</t>
  </si>
  <si>
    <t>Change</t>
  </si>
  <si>
    <t>Beverages</t>
  </si>
  <si>
    <t>Bear Brand</t>
  </si>
  <si>
    <t>Caro (sold in the US as Pero)</t>
  </si>
  <si>
    <t>Chuckie (Philippines)</t>
  </si>
  <si>
    <t>D'Onofrio (Peru)</t>
  </si>
  <si>
    <t>Dancow (Indonesia)</t>
  </si>
  <si>
    <t>Milo</t>
  </si>
  <si>
    <t>Nescau (Brazil)</t>
  </si>
  <si>
    <t>Nesquik</t>
  </si>
  <si>
    <t>Nestea (joint-venture with Coca-Cola, Beverage Partners Worldwide)</t>
  </si>
  <si>
    <t>Nesvita (Pakistan, Thailand)</t>
  </si>
  <si>
    <t>Ricacao (Ecuador)</t>
  </si>
  <si>
    <t>Romanette (Switzerland)</t>
  </si>
  <si>
    <t>S.Pellegrino</t>
  </si>
  <si>
    <t>Sanbittèr (Germany)</t>
  </si>
  <si>
    <t>Sweet Leaf Tea</t>
  </si>
  <si>
    <t>Coffee</t>
  </si>
  <si>
    <t>Chameleon Cold-Brew</t>
  </si>
  <si>
    <t>Dolca (Argentina)</t>
  </si>
  <si>
    <t>Dolce Gusto</t>
  </si>
  <si>
    <t>Ecco (Chile, Peru)</t>
  </si>
  <si>
    <t>El Chaná (Uruguay)</t>
  </si>
  <si>
    <t>International Roast</t>
  </si>
  <si>
    <t>Kirma (Peru)</t>
  </si>
  <si>
    <t>Loumidis (Greece)</t>
  </si>
  <si>
    <t>Mountain Blend</t>
  </si>
  <si>
    <t>Ricoffy</t>
  </si>
  <si>
    <t>Ricoré</t>
  </si>
  <si>
    <t>Ristretto</t>
  </si>
  <si>
    <t>Starbucks (Perpetual License)</t>
  </si>
  <si>
    <t>Sunrise (India)</t>
  </si>
  <si>
    <t>Zoégas (Sweden)</t>
  </si>
  <si>
    <t>Water</t>
  </si>
  <si>
    <t>Acqua Panna (Italy)</t>
  </si>
  <si>
    <t>Alaçam (Turkey)</t>
  </si>
  <si>
    <t>Al Manhal (Bahrain)</t>
  </si>
  <si>
    <t>Aqua Mineral (Poland)</t>
  </si>
  <si>
    <t>Aqua Pod</t>
  </si>
  <si>
    <t>Aqua Spring (Greece)</t>
  </si>
  <si>
    <t>Aquarel (Spain)</t>
  </si>
  <si>
    <t>Arctic (Poland)</t>
  </si>
  <si>
    <t>Baraka (Egypt)</t>
  </si>
  <si>
    <t>Buxton (UK)</t>
  </si>
  <si>
    <t>Charmoise (Belgium)</t>
  </si>
  <si>
    <t>Ciego Montero (Cuba)</t>
  </si>
  <si>
    <t>Cristalp (Switzerland)</t>
  </si>
  <si>
    <t>Da Shan YunNan Spring (China)</t>
  </si>
  <si>
    <t>Dar Natury(Poland)</t>
  </si>
  <si>
    <t>Eco de los Andes (Argentina)</t>
  </si>
  <si>
    <t>Essentia (US)</t>
  </si>
  <si>
    <t>Erikli (Turkey)</t>
  </si>
  <si>
    <t>Frische Brise (Germany)</t>
  </si>
  <si>
    <t>Gerber (Mexico)</t>
  </si>
  <si>
    <t>Ghadeer (Jordan)</t>
  </si>
  <si>
    <t>Glaciar (Argentina)</t>
  </si>
  <si>
    <t>Henniez (Switzerland)</t>
  </si>
  <si>
    <t>Hépar (France)</t>
  </si>
  <si>
    <t>Hidden Spring (Philippines)</t>
  </si>
  <si>
    <t>Κorpi (Greece)</t>
  </si>
  <si>
    <t>La Vie (Vietnam)</t>
  </si>
  <si>
    <t>Levissima (Italy)</t>
  </si>
  <si>
    <t>Los Portales (Cuba)</t>
  </si>
  <si>
    <t>Minéré (Thailand)</t>
  </si>
  <si>
    <t>Nałęczowianka (Poland)</t>
  </si>
  <si>
    <t>Nestlé Selda (Portugal)</t>
  </si>
  <si>
    <t>Nestlé Vera (Italy)</t>
  </si>
  <si>
    <t>Neuselters (Germany)</t>
  </si>
  <si>
    <t>Pejo (Italy)</t>
  </si>
  <si>
    <t>Petrópolis (Brazil)</t>
  </si>
  <si>
    <t>Porvenir (Chile)</t>
  </si>
  <si>
    <t>Princes Gate (UK)</t>
  </si>
  <si>
    <t>Recoaro (Italy)</t>
  </si>
  <si>
    <t>S.Pellegrino (Italy)</t>
  </si>
  <si>
    <t>Santa Bárbara (Brazil)</t>
  </si>
  <si>
    <t>Santa Maria (Mexico)</t>
  </si>
  <si>
    <t>São Lourenço (Brazil)</t>
  </si>
  <si>
    <t>Sohat (Lebanon)</t>
  </si>
  <si>
    <t>Springs (Saudi Arabia)</t>
  </si>
  <si>
    <t>Valvert (Belgium)</t>
  </si>
  <si>
    <t>Viladrau (Spain)</t>
  </si>
  <si>
    <t>Vittel (France)</t>
  </si>
  <si>
    <t>Water Line (South Korea)</t>
  </si>
  <si>
    <t>Waterman (China)</t>
  </si>
  <si>
    <t>Cereals</t>
  </si>
  <si>
    <t>Cerelac</t>
  </si>
  <si>
    <t>Cookie Crisp (in non-US/Canadian markets joint venture between General Mills and Nestlé)</t>
  </si>
  <si>
    <t>Golden Morn (Nigeria)</t>
  </si>
  <si>
    <t>Golden Nuggets</t>
  </si>
  <si>
    <t>Lion Cereal</t>
  </si>
  <si>
    <t>Nescau Cereal (Brazil)</t>
  </si>
  <si>
    <t>Nesquik Breakfast Cereal</t>
  </si>
  <si>
    <t>Trix (in non-US/Canadian markets joint venture between General Mills and Nestlé)</t>
  </si>
  <si>
    <t>Uncle Tobys</t>
  </si>
  <si>
    <t>Chilled</t>
  </si>
  <si>
    <t>Chambinho (Brazil)</t>
  </si>
  <si>
    <t>Chandelle (Brazil, Chile)</t>
  </si>
  <si>
    <t>Chiquitín (Mexico, Chile)</t>
  </si>
  <si>
    <t>Club (Mexico)</t>
  </si>
  <si>
    <t>Hirz (Switzerland)</t>
  </si>
  <si>
    <t>La Laitière (France, Belgium, UK)</t>
  </si>
  <si>
    <t>La Lechera (Spain, Mexico)</t>
  </si>
  <si>
    <t>LC1 (Switzerland)</t>
  </si>
  <si>
    <t>Le Viennois (France, Belgium, Switzerland)</t>
  </si>
  <si>
    <t>Moça (Brazil)</t>
  </si>
  <si>
    <t>Molico (Brazil, now Svelty)</t>
  </si>
  <si>
    <t>Munch Bunch (UK)</t>
  </si>
  <si>
    <t>Nestlé</t>
  </si>
  <si>
    <t>Nesvita (India, Pakistan)</t>
  </si>
  <si>
    <t>Ninho (Brazil)</t>
  </si>
  <si>
    <t>Ski</t>
  </si>
  <si>
    <t>Sollys (Brazil)</t>
  </si>
  <si>
    <t>Sveltesse (France)</t>
  </si>
  <si>
    <t>Svelty (Mexico)</t>
  </si>
  <si>
    <t>Yoco</t>
  </si>
  <si>
    <t>Chocolate, confectionery and baked goods</t>
  </si>
  <si>
    <t>Abuelita</t>
  </si>
  <si>
    <t>Aero</t>
  </si>
  <si>
    <t>All Stars</t>
  </si>
  <si>
    <t>Allen's</t>
  </si>
  <si>
    <t>Alpia (Germany)</t>
  </si>
  <si>
    <t>Alpino (Brazil)</t>
  </si>
  <si>
    <t>Amor Wafer (Ecuador)</t>
  </si>
  <si>
    <t>Animal Bar (Swiss Crown)</t>
  </si>
  <si>
    <t>Bertie Beetle (Australia)</t>
  </si>
  <si>
    <t>Besos de Moza (Peru)</t>
  </si>
  <si>
    <t>Big Turk (Canada)</t>
  </si>
  <si>
    <t>Black Magic</t>
  </si>
  <si>
    <t>Blue Riband</t>
  </si>
  <si>
    <t>Boci (Hungary)</t>
  </si>
  <si>
    <t>Bono (Brazil)</t>
  </si>
  <si>
    <t>Bon Pari (Slovakia, Czech Republic, Poland, Russia, Lithuania and Hungary)</t>
  </si>
  <si>
    <t>Cailler</t>
  </si>
  <si>
    <t>Capri (Chile)</t>
  </si>
  <si>
    <t>Caramac</t>
  </si>
  <si>
    <t>Carlos V</t>
  </si>
  <si>
    <t>Charge (Brazil)</t>
  </si>
  <si>
    <t>Choclait Chips (Germany, Austria, Switzerland and Netherlands)</t>
  </si>
  <si>
    <t>Choco Crossies (Germany)</t>
  </si>
  <si>
    <t>Chokito (Brazil, Switzerland, Australia, and New Zealand)</t>
  </si>
  <si>
    <t>Coffee Crisp (Canada)</t>
  </si>
  <si>
    <t>Crunch (licensed to Ferrara Candy Company in the US)</t>
  </si>
  <si>
    <t>Dairy Box</t>
  </si>
  <si>
    <t>Damak (Turkey)</t>
  </si>
  <si>
    <t>Fizzfindle</t>
  </si>
  <si>
    <t>Frigor</t>
  </si>
  <si>
    <t>Galak/Milkybar</t>
  </si>
  <si>
    <t>Garoto</t>
  </si>
  <si>
    <t>Heaven</t>
  </si>
  <si>
    <t>Hercules Bars (Disney)</t>
  </si>
  <si>
    <t>Joe (Romania and the Netherlands)</t>
  </si>
  <si>
    <t>Joff</t>
  </si>
  <si>
    <t>JOJO (Slovakia, Czech Republic and Poland)</t>
  </si>
  <si>
    <t>Kit Kat (licensed to Hershey's in the US)</t>
  </si>
  <si>
    <t>Lion</t>
  </si>
  <si>
    <t>Mabel's (Bolivia)</t>
  </si>
  <si>
    <t>Cracker</t>
  </si>
  <si>
    <t>Cremositas</t>
  </si>
  <si>
    <t>Gauchitas</t>
  </si>
  <si>
    <t>María Maizena</t>
  </si>
  <si>
    <t>Moraditas</t>
  </si>
  <si>
    <t>Rosquitas</t>
  </si>
  <si>
    <t>Salvado</t>
  </si>
  <si>
    <t>TOP</t>
  </si>
  <si>
    <t>Wafer</t>
  </si>
  <si>
    <t>Yapita</t>
  </si>
  <si>
    <t>McKay</t>
  </si>
  <si>
    <t>Matchmakers</t>
  </si>
  <si>
    <t>Maverick</t>
  </si>
  <si>
    <t>Mint Pattie (Australia)</t>
  </si>
  <si>
    <t>Mio (Brazil)</t>
  </si>
  <si>
    <t>Minties (Australia)</t>
  </si>
  <si>
    <t>Mirage</t>
  </si>
  <si>
    <t>Munchies (United Kingdom)</t>
  </si>
  <si>
    <t>Negresco (Brazil)</t>
  </si>
  <si>
    <t>Negrita (Chile)</t>
  </si>
  <si>
    <t>Nestlé Alpine White</t>
  </si>
  <si>
    <t>Nestle Caja Roja (Portugal)</t>
  </si>
  <si>
    <t>Nestlé Classic (Brazil)</t>
  </si>
  <si>
    <t>Nestlé Dessert</t>
  </si>
  <si>
    <t>Nestlé Extrafino (Portugal)</t>
  </si>
  <si>
    <t>Nestlé Milk Chocolate</t>
  </si>
  <si>
    <t>Nestlé Munch (India and Bangladesh)</t>
  </si>
  <si>
    <t>Nestlé Toll House cookies</t>
  </si>
  <si>
    <t>Nestlé with Almonds</t>
  </si>
  <si>
    <t>Nestlé Wonder Ball</t>
  </si>
  <si>
    <t>Nestlé Yes (Germany)</t>
  </si>
  <si>
    <t>Nuts (Europe)</t>
  </si>
  <si>
    <t>Orion (Slovakia, Czech Republic)</t>
  </si>
  <si>
    <t>Passatempo (Brazil)</t>
  </si>
  <si>
    <t>Peppermint Crisp (South Africa, Australia, and New Zealand)</t>
  </si>
  <si>
    <t>Perugina Baci</t>
  </si>
  <si>
    <t>Plaistowe (Australia)</t>
  </si>
  <si>
    <t>Polo</t>
  </si>
  <si>
    <t>Prestígio (Chile, Brazil)</t>
  </si>
  <si>
    <t>Princessa (Poland)</t>
  </si>
  <si>
    <t>Quality Street</t>
  </si>
  <si>
    <t>Rolo (licensed to Hershey's in the US)</t>
  </si>
  <si>
    <t>Rowntrees</t>
  </si>
  <si>
    <t>Fruit Gums</t>
  </si>
  <si>
    <t>Fruit Pastilles</t>
  </si>
  <si>
    <t>Jelly Tots</t>
  </si>
  <si>
    <t>Juicy Jellies</t>
  </si>
  <si>
    <t>Pick &amp; Mix</t>
  </si>
  <si>
    <t>Randoms</t>
  </si>
  <si>
    <t>Tooty Frooties</t>
  </si>
  <si>
    <t>Sahne Nuss (Chile)</t>
  </si>
  <si>
    <t>Savoy (Venezuela)</t>
  </si>
  <si>
    <t>Susy</t>
  </si>
  <si>
    <t>Cocosette</t>
  </si>
  <si>
    <t>Samba</t>
  </si>
  <si>
    <t>Carlton</t>
  </si>
  <si>
    <t>Prestige</t>
  </si>
  <si>
    <t>Bolero</t>
  </si>
  <si>
    <t>Galak</t>
  </si>
  <si>
    <t>Carre</t>
  </si>
  <si>
    <t>Scorched Almonds (New Zealand)</t>
  </si>
  <si>
    <t>Sensação (Brazil)</t>
  </si>
  <si>
    <t>Smarties</t>
  </si>
  <si>
    <t>Suflair (Brazil)</t>
  </si>
  <si>
    <t>Sublime (Peru)</t>
  </si>
  <si>
    <t>Sundy (France)</t>
  </si>
  <si>
    <t>Super 8 (Chile)</t>
  </si>
  <si>
    <t>Svitoch (Ukraine)</t>
  </si>
  <si>
    <t>Szerencsi (Hungary)</t>
  </si>
  <si>
    <t>Tango (Ecuador)</t>
  </si>
  <si>
    <t>Tango Mini Galletas (Ecuador)</t>
  </si>
  <si>
    <t>Toffee Crisp</t>
  </si>
  <si>
    <t>Trencito (Chile)</t>
  </si>
  <si>
    <t>Triangulo (Peru)</t>
  </si>
  <si>
    <t>Turtles (UK, Canada)</t>
  </si>
  <si>
    <t>Walnut Whip</t>
  </si>
  <si>
    <t>XXX mints</t>
  </si>
  <si>
    <t>Yorkie</t>
  </si>
  <si>
    <t>Zvečevo (HR)</t>
  </si>
  <si>
    <t>Foodservice products</t>
  </si>
  <si>
    <t>Chef-Mate[33]</t>
  </si>
  <si>
    <t>Davigel[34]</t>
  </si>
  <si>
    <t>Minor's[35]</t>
  </si>
  <si>
    <t>Santa Rica</t>
  </si>
  <si>
    <t>Frozen food</t>
  </si>
  <si>
    <t>California Pizza Kitchen (US)</t>
  </si>
  <si>
    <t>DiGiorno Pizza (US)</t>
  </si>
  <si>
    <t>Hälsans Kök (Finland and Sweden)</t>
  </si>
  <si>
    <t>Jack's Pizza</t>
  </si>
  <si>
    <t>Lean Pockets</t>
  </si>
  <si>
    <t>Malher (GT)</t>
  </si>
  <si>
    <t>Papa Giuseppe</t>
  </si>
  <si>
    <t>Sweet Earth Foods</t>
  </si>
  <si>
    <t>Tombstone Pizza</t>
  </si>
  <si>
    <t>Winiary (PL)</t>
  </si>
  <si>
    <t>Wagner Pizza (EU</t>
  </si>
  <si>
    <t>Frozen desserts</t>
  </si>
  <si>
    <t>Åhusglass (Sweden)</t>
  </si>
  <si>
    <t>Aino (Finland)</t>
  </si>
  <si>
    <t>Camy (Spain, Portugal)</t>
  </si>
  <si>
    <t>Делта (Delta, Bulgaria)</t>
  </si>
  <si>
    <t>Δέλτα (Delta, Greece)</t>
  </si>
  <si>
    <t>Drumstick</t>
  </si>
  <si>
    <t>Eskimo (Finland)</t>
  </si>
  <si>
    <t>Extrême (UK, Ireland, France, Spain, Italy, Switzerland)</t>
  </si>
  <si>
    <t>Frigor (Argentina)</t>
  </si>
  <si>
    <t>Frisco (Switzerland)</t>
  </si>
  <si>
    <t>Froneri</t>
  </si>
  <si>
    <t>Häagen-Dazs</t>
  </si>
  <si>
    <t>Kimo</t>
  </si>
  <si>
    <t>Kimy (Philippines)</t>
  </si>
  <si>
    <t>Maxibon</t>
  </si>
  <si>
    <t>Mat Kool (Malaysia)</t>
  </si>
  <si>
    <t>Mivvi</t>
  </si>
  <si>
    <t>Motta (Italy)</t>
  </si>
  <si>
    <t>Mövenpick (Switzerland)</t>
  </si>
  <si>
    <t>Nestlé Ice Cream</t>
  </si>
  <si>
    <t>Nestlé Princessa (Poland)</t>
  </si>
  <si>
    <t>Outshine</t>
  </si>
  <si>
    <t>Pingviini (Finland)</t>
  </si>
  <si>
    <t>Push-Up</t>
  </si>
  <si>
    <t>Real Dairy</t>
  </si>
  <si>
    <t>Savory (Chile)</t>
  </si>
  <si>
    <t>Schöller (Germany and Austria)</t>
  </si>
  <si>
    <t>Skinny Cow</t>
  </si>
  <si>
    <t>Sorbetes (Philippines)</t>
  </si>
  <si>
    <t>Temptations (Philippines)</t>
  </si>
  <si>
    <t>Tip Top (New Zealand)</t>
  </si>
  <si>
    <t>Twin Pops (Philippines)</t>
  </si>
  <si>
    <t>Underground is (Denmark)</t>
  </si>
  <si>
    <t>zer0% Fat (Philippines)</t>
  </si>
  <si>
    <t>Healthcare nutrition</t>
  </si>
  <si>
    <t>Atrium Innovations</t>
  </si>
  <si>
    <t>Carnation Instant Breakfast</t>
  </si>
  <si>
    <t>Compleat</t>
  </si>
  <si>
    <t>Crucial</t>
  </si>
  <si>
    <t>Douglas Laboratories</t>
  </si>
  <si>
    <t>Genestra brands</t>
  </si>
  <si>
    <t>Impact</t>
  </si>
  <si>
    <t>Meritene</t>
  </si>
  <si>
    <t>Nature's Bounty</t>
  </si>
  <si>
    <t>Novasource Renal</t>
  </si>
  <si>
    <t>Nutren</t>
  </si>
  <si>
    <t>Nuun</t>
  </si>
  <si>
    <t>Optifast</t>
  </si>
  <si>
    <t>Optifibre</t>
  </si>
  <si>
    <t>Osteo Bi-Flex</t>
  </si>
  <si>
    <t>Puritan's Pride</t>
  </si>
  <si>
    <t>Peptamen</t>
  </si>
  <si>
    <t>Persona Nutrition</t>
  </si>
  <si>
    <t>Pure Encapsulations</t>
  </si>
  <si>
    <t>Resorb</t>
  </si>
  <si>
    <t>Resource</t>
  </si>
  <si>
    <t>Solgar</t>
  </si>
  <si>
    <t>Sustagen</t>
  </si>
  <si>
    <t>Trophic</t>
  </si>
  <si>
    <t>Vital Proteins</t>
  </si>
  <si>
    <t>Wobenzym</t>
  </si>
  <si>
    <t>Instant foods</t>
  </si>
  <si>
    <t>Alfamino</t>
  </si>
  <si>
    <t>Alfare</t>
  </si>
  <si>
    <t>Althera</t>
  </si>
  <si>
    <t>Bona (Finland)</t>
  </si>
  <si>
    <t>Farinha Láctea (Brazil)</t>
  </si>
  <si>
    <t>FM 85</t>
  </si>
  <si>
    <t>Good Start</t>
  </si>
  <si>
    <t>Guigoz</t>
  </si>
  <si>
    <t>Lactogen</t>
  </si>
  <si>
    <t>Maggi</t>
  </si>
  <si>
    <t>Mezeast (UK)</t>
  </si>
  <si>
    <t>NAN AL 110</t>
  </si>
  <si>
    <t>NAN Infinipro HA</t>
  </si>
  <si>
    <t>NAN Optipro</t>
  </si>
  <si>
    <t>NAN Sensitive</t>
  </si>
  <si>
    <t>NanKid</t>
  </si>
  <si>
    <t>NanSoy</t>
  </si>
  <si>
    <t>NaturNes</t>
  </si>
  <si>
    <t>Neslac</t>
  </si>
  <si>
    <t>Nestlé Bear Brand</t>
  </si>
  <si>
    <t>Nestogen</t>
  </si>
  <si>
    <t>Nestogen Kid 3+ (formerly Nestogrow Four and Nestokid Four)</t>
  </si>
  <si>
    <t>Nido</t>
  </si>
  <si>
    <t>Piltti (Finland)</t>
  </si>
  <si>
    <t>PreNan</t>
  </si>
  <si>
    <t>SMA (UK)</t>
  </si>
  <si>
    <t>Wyeth (Bonna, Bonaina, Bonakid, Bonakid Pre-School 3+, S-26, S-26 Gold, S-26 Promil, S-26 Promil Gold, Promil, Promil Gold, Promama, Ascenda, Ascenda Kid)</t>
  </si>
  <si>
    <t>Performance nutrition</t>
  </si>
  <si>
    <t>Boost</t>
  </si>
  <si>
    <t>Neston</t>
  </si>
  <si>
    <t>Nesvita</t>
  </si>
  <si>
    <t>Pria</t>
  </si>
  <si>
    <t>Supligen</t>
  </si>
  <si>
    <t>Nestlé Purina petcare products</t>
  </si>
  <si>
    <t>Other petcare products</t>
  </si>
  <si>
    <t>Bakers</t>
  </si>
  <si>
    <t>Beta</t>
  </si>
  <si>
    <t>Bonio</t>
  </si>
  <si>
    <t>Bonnie</t>
  </si>
  <si>
    <t>Castor &amp; Pollux</t>
  </si>
  <si>
    <t>Fido (French equivalent brand to Bakers and Beneful)</t>
  </si>
  <si>
    <t>Lily's Kitchen</t>
  </si>
  <si>
    <t>Lucky Dog</t>
  </si>
  <si>
    <t>Merrick</t>
  </si>
  <si>
    <t>Mon Petit</t>
  </si>
  <si>
    <t>PetLife</t>
  </si>
  <si>
    <t>Republic of Cats (majority owned by Nestle Purina)</t>
  </si>
  <si>
    <t>Supercoat</t>
  </si>
  <si>
    <t>Tails</t>
  </si>
  <si>
    <t>Tidy Cats</t>
  </si>
  <si>
    <t>Totalcare</t>
  </si>
  <si>
    <t>Whole Earth Farms</t>
  </si>
  <si>
    <t>Winalot</t>
  </si>
  <si>
    <t>Refrigerated products</t>
  </si>
  <si>
    <t>Herta</t>
  </si>
  <si>
    <t>Katie's Pizza [citation needed]</t>
  </si>
  <si>
    <t>Seasonings</t>
  </si>
  <si>
    <t>CHEF</t>
  </si>
  <si>
    <t>Haoji</t>
  </si>
  <si>
    <t>Thomy</t>
  </si>
  <si>
    <t>Totole</t>
  </si>
  <si>
    <t>Winiary</t>
  </si>
  <si>
    <t>Shelf stable</t>
  </si>
  <si>
    <t>Tendre Noix</t>
  </si>
  <si>
    <t>Yogurt</t>
  </si>
  <si>
    <t>Acti-V (Philippines)</t>
  </si>
  <si>
    <t>ActiPlus (Pakistan)</t>
  </si>
  <si>
    <t>Longa Vida (Portugal)</t>
  </si>
  <si>
    <t>Lactalis (Spanish)</t>
  </si>
  <si>
    <t>Molico (Brazil)</t>
  </si>
  <si>
    <t>Nestlé Raita (mint and cumin) (Pakistan)</t>
  </si>
  <si>
    <t>Nestlé Yogurt</t>
  </si>
  <si>
    <t>Rawaytee Maza (Pakistan)</t>
  </si>
  <si>
    <t>Ski Dairy (United Kingdom)</t>
  </si>
  <si>
    <t>Sweet N Tasty Yogurt (Pakistan)</t>
  </si>
  <si>
    <t>Yelly (Pakistan)</t>
  </si>
  <si>
    <t>Carnation</t>
  </si>
  <si>
    <t>Ovaltine (United States, under license from Associated British Foods)</t>
  </si>
  <si>
    <t>Special.T</t>
  </si>
  <si>
    <t>Sunar (Czech republic)</t>
  </si>
  <si>
    <t>Supligen (Caribbean) – milk beverage</t>
  </si>
  <si>
    <t>Blue Bottle Coffee Company</t>
  </si>
  <si>
    <t>Bonka</t>
  </si>
  <si>
    <t>Buondi (Portugal)</t>
  </si>
  <si>
    <t>Christina (Portugal)</t>
  </si>
  <si>
    <t>Nescafé</t>
  </si>
  <si>
    <t>Nespresso</t>
  </si>
  <si>
    <t>Partner's Blend</t>
  </si>
  <si>
    <t>Sical (Portugal)</t>
  </si>
  <si>
    <t>Taster's Choice</t>
  </si>
  <si>
    <t>Tofa</t>
  </si>
  <si>
    <t>Contrex (France)</t>
  </si>
  <si>
    <t>Perrier</t>
  </si>
  <si>
    <t>Cheerios (in non-US/Canadian markets joint venture between General Mills and Nestlé)</t>
  </si>
  <si>
    <t>Chocapic</t>
  </si>
  <si>
    <t>Cini Minis</t>
  </si>
  <si>
    <t>Clusters</t>
  </si>
  <si>
    <t>Curiously Strawberry</t>
  </si>
  <si>
    <t>Curiously Cinnamon (in non-US/Canadian markets joint venture between General Mills and Nestlé)</t>
  </si>
  <si>
    <t>Estrelitas (Portugal)</t>
  </si>
  <si>
    <t>Fitness</t>
  </si>
  <si>
    <t>Gold Flakes</t>
  </si>
  <si>
    <t>Golden Grahams (in non-US/Canadian markets joint venture between General Mills and Nestlé)</t>
  </si>
  <si>
    <t>Honey Stars</t>
  </si>
  <si>
    <t>Koko Krunch (Unicef)</t>
  </si>
  <si>
    <t>Milo cereals</t>
  </si>
  <si>
    <t>Nestlé Corn Flakes</t>
  </si>
  <si>
    <t>Nestum (Portugal)</t>
  </si>
  <si>
    <t>Shredded Wheat (in UK and Ireland under license from Post Consumer Brands)</t>
  </si>
  <si>
    <t>Shreddies (in UK and Ireland under license from Post Consumer Brands)</t>
  </si>
  <si>
    <t>Chamyto (Brazil, Mexico, Chile)</t>
  </si>
  <si>
    <t>Buitoni</t>
  </si>
  <si>
    <t>Delissio Pizza (Canada)</t>
  </si>
  <si>
    <t>Hot Pockets (US)</t>
  </si>
  <si>
    <t>Lean Cuisine</t>
  </si>
  <si>
    <t>Stouffer's</t>
  </si>
  <si>
    <t>Dreyer's</t>
  </si>
  <si>
    <t>After Eight</t>
  </si>
  <si>
    <t>Lollo (Brazil)</t>
  </si>
  <si>
    <t>Tola (UAE)</t>
  </si>
  <si>
    <t>Diabetisource</t>
  </si>
  <si>
    <t>Fibersource</t>
  </si>
  <si>
    <t>Garden of Life</t>
  </si>
  <si>
    <t>Glytrol</t>
  </si>
  <si>
    <t>Isosource</t>
  </si>
  <si>
    <t>Modulen</t>
  </si>
  <si>
    <t>Orgain</t>
  </si>
  <si>
    <t>Beba</t>
  </si>
  <si>
    <t>Freshly</t>
  </si>
  <si>
    <t>Gerber</t>
  </si>
  <si>
    <t>Mindful Chef</t>
  </si>
  <si>
    <t>Friskies</t>
  </si>
  <si>
    <t>Purina</t>
  </si>
  <si>
    <t>Purina Alpo</t>
  </si>
  <si>
    <t>Purina Beggin' Strips</t>
  </si>
  <si>
    <t>Purina Benefu\</t>
  </si>
  <si>
    <t>Purina Busy Bone</t>
  </si>
  <si>
    <t>Purina Cat Chow</t>
  </si>
  <si>
    <t>Purina Dental Life</t>
  </si>
  <si>
    <t>Purina Dog Chow</t>
  </si>
  <si>
    <t>Purina Fancy Feast</t>
  </si>
  <si>
    <t>Purina Felix</t>
  </si>
  <si>
    <t>Purina Gourmet</t>
  </si>
  <si>
    <t>Purina ONE</t>
  </si>
  <si>
    <t>Purina Pro Plan</t>
  </si>
  <si>
    <t>Go Cat</t>
  </si>
  <si>
    <t>Garden Gourmet (Germany)</t>
  </si>
  <si>
    <t>Toll House – refrigerated cookie dough</t>
  </si>
  <si>
    <t>Carpathia</t>
  </si>
  <si>
    <t>Coffee-Mate</t>
  </si>
  <si>
    <t>Munch Bunch</t>
  </si>
  <si>
    <t>Nestlé Omega Plus – a milk product</t>
  </si>
  <si>
    <r>
      <t>Nestlé Dibs – Produced in conjunction with Dreyer's Ice Cream. Marketed as Edy's in the midwest and eastern United States.</t>
    </r>
    <r>
      <rPr>
        <vertAlign val="superscript"/>
        <sz val="10"/>
        <color theme="1"/>
        <rFont val="arial"/>
        <family val="2"/>
      </rPr>
      <t>[</t>
    </r>
    <r>
      <rPr>
        <sz val="10"/>
        <color theme="1"/>
        <rFont val="arial"/>
        <family val="2"/>
      </rPr>
      <t>36]</t>
    </r>
    <r>
      <rPr>
        <vertAlign val="superscript"/>
        <sz val="10"/>
        <color theme="1"/>
        <rFont val="arial"/>
        <family val="2"/>
      </rPr>
      <t>[</t>
    </r>
    <r>
      <rPr>
        <sz val="10"/>
        <color theme="1"/>
        <rFont val="arial"/>
        <family val="2"/>
      </rPr>
      <t>37]</t>
    </r>
    <r>
      <rPr>
        <vertAlign val="superscript"/>
        <sz val="10"/>
        <color theme="1"/>
        <rFont val="arial"/>
        <family val="2"/>
      </rPr>
      <t>[</t>
    </r>
    <r>
      <rPr>
        <sz val="10"/>
        <color theme="1"/>
        <rFont val="arial"/>
        <family val="2"/>
      </rPr>
      <t>38]</t>
    </r>
  </si>
  <si>
    <t>Nestle owns 23,29% of L'Oreal</t>
  </si>
  <si>
    <t>Nestle owned 100% of Alcon in 1978</t>
  </si>
  <si>
    <t>In 2002 Nestle sold 23.2% of its Alcon shares to the NYSE</t>
  </si>
  <si>
    <t>In 2008 Nestle sold 24.8% of existing shares to the Swiss pharmaceutical gaint Novartis</t>
  </si>
  <si>
    <t>In 2010 Nestle sold the remaining 52% of its Alcon shares to Novartis</t>
  </si>
  <si>
    <t>Novartis paid a total of $39.1 billion</t>
  </si>
  <si>
    <t>Powdered &amp; liquid beverages</t>
  </si>
  <si>
    <t>Milk products &amp; ice cream</t>
  </si>
  <si>
    <t>Nutrition &amp; Health Science</t>
  </si>
  <si>
    <t>Prepared dishes &amp; cooking aids</t>
  </si>
  <si>
    <t>Confectionery</t>
  </si>
  <si>
    <t>PetCare</t>
  </si>
  <si>
    <t>Total</t>
  </si>
  <si>
    <t>y/y</t>
  </si>
  <si>
    <t>margin</t>
  </si>
  <si>
    <t>Nort America</t>
  </si>
  <si>
    <t>Europe</t>
  </si>
  <si>
    <t>Asia, Oceania, Africa</t>
  </si>
  <si>
    <t>Latin America</t>
  </si>
  <si>
    <t>Greater China</t>
  </si>
  <si>
    <t>Health Science</t>
  </si>
  <si>
    <t>Other</t>
  </si>
  <si>
    <t>CEO</t>
  </si>
  <si>
    <t>CFO</t>
  </si>
  <si>
    <t>Mark Schneider</t>
  </si>
  <si>
    <t>Anna Manz</t>
  </si>
  <si>
    <t>Inventories</t>
  </si>
  <si>
    <t>A/R</t>
  </si>
  <si>
    <t>Prepayments</t>
  </si>
  <si>
    <t>Derivative</t>
  </si>
  <si>
    <t>Income taxes</t>
  </si>
  <si>
    <t>Held for sale</t>
  </si>
  <si>
    <t>PP&amp;E</t>
  </si>
  <si>
    <t>Goodwill</t>
  </si>
  <si>
    <t>Investments</t>
  </si>
  <si>
    <t>Benefits</t>
  </si>
  <si>
    <t>D/T</t>
  </si>
  <si>
    <t>Assets</t>
  </si>
  <si>
    <t>A/P</t>
  </si>
  <si>
    <t>Accruals</t>
  </si>
  <si>
    <t>Provisions</t>
  </si>
  <si>
    <t>Liabilties</t>
  </si>
  <si>
    <t>S/E</t>
  </si>
  <si>
    <t>L+S/E</t>
  </si>
  <si>
    <t>Interest yield</t>
  </si>
  <si>
    <t>NI TTM</t>
  </si>
  <si>
    <t>Tangible return</t>
  </si>
  <si>
    <t>Model NI</t>
  </si>
  <si>
    <t>Reported NI</t>
  </si>
  <si>
    <t>D&amp;A</t>
  </si>
  <si>
    <t>Impairment</t>
  </si>
  <si>
    <t>Disposal</t>
  </si>
  <si>
    <t>Working capital</t>
  </si>
  <si>
    <t>Interest paid</t>
  </si>
  <si>
    <t>Interest recieved</t>
  </si>
  <si>
    <t>Intangibles</t>
  </si>
  <si>
    <t>Acquisition</t>
  </si>
  <si>
    <t>Treasury</t>
  </si>
  <si>
    <t>CFFI</t>
  </si>
  <si>
    <t>Acquisition of non controling interest</t>
  </si>
  <si>
    <t>Buybacks</t>
  </si>
  <si>
    <t>Bonds</t>
  </si>
  <si>
    <t>Dividends</t>
  </si>
  <si>
    <t>CFFF</t>
  </si>
  <si>
    <t>FX</t>
  </si>
  <si>
    <t>CIC</t>
  </si>
  <si>
    <t>USD/CHF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</si>
</sst>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0\x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vertAlign val="superscript"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3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9" fontId="0" fillId="0" borderId="4" xfId="0" applyNumberFormat="1" applyBorder="1"/>
    <xf numFmtId="9" fontId="0" fillId="0" borderId="6" xfId="0" applyNumberFormat="1" applyBorder="1"/>
    <xf numFmtId="9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9" fontId="0" fillId="0" borderId="1" xfId="0" applyNumberFormat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0</xdr:rowOff>
    </xdr:from>
    <xdr:to>
      <xdr:col>14</xdr:col>
      <xdr:colOff>28575</xdr:colOff>
      <xdr:row>116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0EAB4FE-B03E-EAB1-ED9F-AF257ED8862E}"/>
            </a:ext>
          </a:extLst>
        </xdr:cNvPr>
        <xdr:cNvCxnSpPr/>
      </xdr:nvCxnSpPr>
      <xdr:spPr>
        <a:xfrm>
          <a:off x="9144000" y="0"/>
          <a:ext cx="0" cy="142017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0</xdr:row>
      <xdr:rowOff>0</xdr:rowOff>
    </xdr:from>
    <xdr:to>
      <xdr:col>29</xdr:col>
      <xdr:colOff>28575</xdr:colOff>
      <xdr:row>118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5D2B846-1135-4C1F-836C-CEC6C7BCADCF}"/>
            </a:ext>
          </a:extLst>
        </xdr:cNvPr>
        <xdr:cNvCxnSpPr/>
      </xdr:nvCxnSpPr>
      <xdr:spPr>
        <a:xfrm>
          <a:off x="18288000" y="0"/>
          <a:ext cx="0" cy="144875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ist_of_Nestl%C3%A9_brands" TargetMode="External"/><Relationship Id="rId117" Type="http://schemas.openxmlformats.org/officeDocument/2006/relationships/hyperlink" Target="https://en.wikipedia.org/wiki/Lactalis" TargetMode="External"/><Relationship Id="rId21" Type="http://schemas.openxmlformats.org/officeDocument/2006/relationships/hyperlink" Target="https://en.wikipedia.org/wiki/Gerber_Products_Company" TargetMode="External"/><Relationship Id="rId42" Type="http://schemas.openxmlformats.org/officeDocument/2006/relationships/hyperlink" Target="https://en.wikipedia.org/wiki/Aero_(chocolate)" TargetMode="External"/><Relationship Id="rId47" Type="http://schemas.openxmlformats.org/officeDocument/2006/relationships/hyperlink" Target="https://en.wikipedia.org/wiki/Cailler" TargetMode="External"/><Relationship Id="rId63" Type="http://schemas.openxmlformats.org/officeDocument/2006/relationships/hyperlink" Target="https://en.wikipedia.org/wiki/Perugina" TargetMode="External"/><Relationship Id="rId68" Type="http://schemas.openxmlformats.org/officeDocument/2006/relationships/hyperlink" Target="https://en.wikipedia.org/wiki/Svitoch" TargetMode="External"/><Relationship Id="rId84" Type="http://schemas.openxmlformats.org/officeDocument/2006/relationships/hyperlink" Target="https://en.wikipedia.org/wiki/H%C3%A4agen-Dazs" TargetMode="External"/><Relationship Id="rId89" Type="http://schemas.openxmlformats.org/officeDocument/2006/relationships/hyperlink" Target="https://en.wikipedia.org/wiki/List_of_Nestl%C3%A9_brands" TargetMode="External"/><Relationship Id="rId112" Type="http://schemas.openxmlformats.org/officeDocument/2006/relationships/hyperlink" Target="https://en.wikipedia.org/wiki/List_of_Nestl%C3%A9_brands" TargetMode="External"/><Relationship Id="rId16" Type="http://schemas.openxmlformats.org/officeDocument/2006/relationships/hyperlink" Target="https://en.wikipedia.org/wiki/List_of_Nestl%C3%A9_brands" TargetMode="External"/><Relationship Id="rId107" Type="http://schemas.openxmlformats.org/officeDocument/2006/relationships/hyperlink" Target="https://en.wikipedia.org/wiki/List_of_Nestl%C3%A9_brands" TargetMode="External"/><Relationship Id="rId11" Type="http://schemas.openxmlformats.org/officeDocument/2006/relationships/hyperlink" Target="https://en.wikipedia.org/wiki/List_of_Nestl%C3%A9_brands" TargetMode="External"/><Relationship Id="rId32" Type="http://schemas.openxmlformats.org/officeDocument/2006/relationships/hyperlink" Target="https://en.wikipedia.org/wiki/Golden_Nuggets" TargetMode="External"/><Relationship Id="rId37" Type="http://schemas.openxmlformats.org/officeDocument/2006/relationships/hyperlink" Target="https://en.wikipedia.org/wiki/List_of_Nestl%C3%A9_brands" TargetMode="External"/><Relationship Id="rId53" Type="http://schemas.openxmlformats.org/officeDocument/2006/relationships/hyperlink" Target="https://en.wikipedia.org/wiki/Milkybar" TargetMode="External"/><Relationship Id="rId58" Type="http://schemas.openxmlformats.org/officeDocument/2006/relationships/hyperlink" Target="https://en.wikipedia.org/wiki/Minties" TargetMode="External"/><Relationship Id="rId74" Type="http://schemas.openxmlformats.org/officeDocument/2006/relationships/hyperlink" Target="https://en.wikipedia.org/wiki/List_of_Nestl%C3%A9_brands" TargetMode="External"/><Relationship Id="rId79" Type="http://schemas.openxmlformats.org/officeDocument/2006/relationships/hyperlink" Target="https://en.wikipedia.org/wiki/Malher" TargetMode="External"/><Relationship Id="rId102" Type="http://schemas.openxmlformats.org/officeDocument/2006/relationships/hyperlink" Target="https://en.wikipedia.org/wiki/List_of_Nestl%C3%A9_brands" TargetMode="External"/><Relationship Id="rId5" Type="http://schemas.openxmlformats.org/officeDocument/2006/relationships/hyperlink" Target="https://en.wikipedia.org/wiki/Nesquik" TargetMode="External"/><Relationship Id="rId90" Type="http://schemas.openxmlformats.org/officeDocument/2006/relationships/hyperlink" Target="https://en.wikipedia.org/wiki/List_of_Nestl%C3%A9_brands" TargetMode="External"/><Relationship Id="rId95" Type="http://schemas.openxmlformats.org/officeDocument/2006/relationships/hyperlink" Target="https://en.wikipedia.org/wiki/List_of_Nestl%C3%A9_brands" TargetMode="External"/><Relationship Id="rId22" Type="http://schemas.openxmlformats.org/officeDocument/2006/relationships/hyperlink" Target="https://en.wikipedia.org/wiki/Princes_Gate_Spring_Water" TargetMode="External"/><Relationship Id="rId27" Type="http://schemas.openxmlformats.org/officeDocument/2006/relationships/hyperlink" Target="https://en.wikipedia.org/wiki/List_of_Nestl%C3%A9_brands" TargetMode="External"/><Relationship Id="rId43" Type="http://schemas.openxmlformats.org/officeDocument/2006/relationships/hyperlink" Target="https://en.wikipedia.org/wiki/Allen%27s" TargetMode="External"/><Relationship Id="rId48" Type="http://schemas.openxmlformats.org/officeDocument/2006/relationships/hyperlink" Target="https://en.wikipedia.org/wiki/Caramac" TargetMode="External"/><Relationship Id="rId64" Type="http://schemas.openxmlformats.org/officeDocument/2006/relationships/hyperlink" Target="https://en.wikipedia.org/wiki/Polo_(confectionery)" TargetMode="External"/><Relationship Id="rId69" Type="http://schemas.openxmlformats.org/officeDocument/2006/relationships/hyperlink" Target="https://en.wikipedia.org/wiki/Mackintosh%27s" TargetMode="External"/><Relationship Id="rId113" Type="http://schemas.openxmlformats.org/officeDocument/2006/relationships/hyperlink" Target="https://en.wikipedia.org/wiki/Wikipedia:Citation_needed" TargetMode="External"/><Relationship Id="rId118" Type="http://schemas.openxmlformats.org/officeDocument/2006/relationships/hyperlink" Target="https://en.wikipedia.org/wiki/List_of_Nestl%C3%A9_brands" TargetMode="External"/><Relationship Id="rId80" Type="http://schemas.openxmlformats.org/officeDocument/2006/relationships/hyperlink" Target="https://en.wikipedia.org/wiki/Tombstone_(pizza)" TargetMode="External"/><Relationship Id="rId85" Type="http://schemas.openxmlformats.org/officeDocument/2006/relationships/hyperlink" Target="https://en.wikipedia.org/wiki/Maxibon" TargetMode="External"/><Relationship Id="rId12" Type="http://schemas.openxmlformats.org/officeDocument/2006/relationships/hyperlink" Target="https://en.wikipedia.org/wiki/List_of_Nestl%C3%A9_brands" TargetMode="External"/><Relationship Id="rId17" Type="http://schemas.openxmlformats.org/officeDocument/2006/relationships/hyperlink" Target="https://en.wikipedia.org/wiki/Ricor%C3%A9" TargetMode="External"/><Relationship Id="rId33" Type="http://schemas.openxmlformats.org/officeDocument/2006/relationships/hyperlink" Target="https://en.wikipedia.org/wiki/List_of_Nestl%C3%A9_brands" TargetMode="External"/><Relationship Id="rId38" Type="http://schemas.openxmlformats.org/officeDocument/2006/relationships/hyperlink" Target="https://en.wikipedia.org/wiki/List_of_Nestl%C3%A9_brands" TargetMode="External"/><Relationship Id="rId59" Type="http://schemas.openxmlformats.org/officeDocument/2006/relationships/hyperlink" Target="https://en.wikipedia.org/wiki/Mirage_(chocolate)" TargetMode="External"/><Relationship Id="rId103" Type="http://schemas.openxmlformats.org/officeDocument/2006/relationships/hyperlink" Target="https://en.wikipedia.org/wiki/List_of_Nestl%C3%A9_brands" TargetMode="External"/><Relationship Id="rId108" Type="http://schemas.openxmlformats.org/officeDocument/2006/relationships/hyperlink" Target="https://en.wikipedia.org/wiki/List_of_Nestl%C3%A9_brands" TargetMode="External"/><Relationship Id="rId54" Type="http://schemas.openxmlformats.org/officeDocument/2006/relationships/hyperlink" Target="https://en.wikipedia.org/wiki/Garoto" TargetMode="External"/><Relationship Id="rId70" Type="http://schemas.openxmlformats.org/officeDocument/2006/relationships/hyperlink" Target="https://en.wikipedia.org/wiki/List_of_Nestl%C3%A9_brands" TargetMode="External"/><Relationship Id="rId75" Type="http://schemas.openxmlformats.org/officeDocument/2006/relationships/hyperlink" Target="https://en.wikipedia.org/wiki/List_of_Nestl%C3%A9_brands" TargetMode="External"/><Relationship Id="rId91" Type="http://schemas.openxmlformats.org/officeDocument/2006/relationships/hyperlink" Target="https://en.wikipedia.org/wiki/List_of_Nestl%C3%A9_brands" TargetMode="External"/><Relationship Id="rId96" Type="http://schemas.openxmlformats.org/officeDocument/2006/relationships/hyperlink" Target="https://en.wikipedia.org/wiki/Cerelac" TargetMode="External"/><Relationship Id="rId1" Type="http://schemas.openxmlformats.org/officeDocument/2006/relationships/hyperlink" Target="https://en.wikipedia.org/wiki/Nestl%C3%A9_Bear_Brand" TargetMode="External"/><Relationship Id="rId6" Type="http://schemas.openxmlformats.org/officeDocument/2006/relationships/hyperlink" Target="https://en.wikipedia.org/wiki/List_of_Nestl%C3%A9_brands" TargetMode="External"/><Relationship Id="rId23" Type="http://schemas.openxmlformats.org/officeDocument/2006/relationships/hyperlink" Target="https://en.wikipedia.org/wiki/S.Pellegrino" TargetMode="External"/><Relationship Id="rId28" Type="http://schemas.openxmlformats.org/officeDocument/2006/relationships/hyperlink" Target="https://en.wikipedia.org/wiki/List_of_Nestl%C3%A9_brands" TargetMode="External"/><Relationship Id="rId49" Type="http://schemas.openxmlformats.org/officeDocument/2006/relationships/hyperlink" Target="https://en.wikipedia.org/wiki/Carlos_V_(chocolate_bar)" TargetMode="External"/><Relationship Id="rId114" Type="http://schemas.openxmlformats.org/officeDocument/2006/relationships/hyperlink" Target="https://en.wikipedia.org/wiki/List_of_Nestl%C3%A9_brands" TargetMode="External"/><Relationship Id="rId119" Type="http://schemas.openxmlformats.org/officeDocument/2006/relationships/hyperlink" Target="https://en.wikipedia.org/wiki/Ski_Dairy" TargetMode="External"/><Relationship Id="rId10" Type="http://schemas.openxmlformats.org/officeDocument/2006/relationships/hyperlink" Target="https://en.wikipedia.org/wiki/Sweet_Leaf_Tea_Company" TargetMode="External"/><Relationship Id="rId31" Type="http://schemas.openxmlformats.org/officeDocument/2006/relationships/hyperlink" Target="https://en.wikipedia.org/wiki/Nestle_Nigeria" TargetMode="External"/><Relationship Id="rId44" Type="http://schemas.openxmlformats.org/officeDocument/2006/relationships/hyperlink" Target="https://en.wikipedia.org/wiki/Bertie_Beetle" TargetMode="External"/><Relationship Id="rId52" Type="http://schemas.openxmlformats.org/officeDocument/2006/relationships/hyperlink" Target="https://en.wikipedia.org/wiki/D%27Onofrio_(brand)" TargetMode="External"/><Relationship Id="rId60" Type="http://schemas.openxmlformats.org/officeDocument/2006/relationships/hyperlink" Target="https://en.wikipedia.org/wiki/Nestl%C3%A9_Milk_Chocolate" TargetMode="External"/><Relationship Id="rId65" Type="http://schemas.openxmlformats.org/officeDocument/2006/relationships/hyperlink" Target="https://en.wikipedia.org/wiki/Quality_Street_(confectionery)" TargetMode="External"/><Relationship Id="rId73" Type="http://schemas.openxmlformats.org/officeDocument/2006/relationships/hyperlink" Target="https://en.wikipedia.org/wiki/Zve%C4%8Devo" TargetMode="External"/><Relationship Id="rId78" Type="http://schemas.openxmlformats.org/officeDocument/2006/relationships/hyperlink" Target="https://en.wikipedia.org/wiki/DiGiorno" TargetMode="External"/><Relationship Id="rId81" Type="http://schemas.openxmlformats.org/officeDocument/2006/relationships/hyperlink" Target="https://en.wikipedia.org/wiki/Winiary_(company)" TargetMode="External"/><Relationship Id="rId86" Type="http://schemas.openxmlformats.org/officeDocument/2006/relationships/hyperlink" Target="https://en.wikipedia.org/wiki/M%C3%B6venpick_Ice_Cream" TargetMode="External"/><Relationship Id="rId94" Type="http://schemas.openxmlformats.org/officeDocument/2006/relationships/hyperlink" Target="https://en.wikipedia.org/wiki/Sustagen" TargetMode="External"/><Relationship Id="rId99" Type="http://schemas.openxmlformats.org/officeDocument/2006/relationships/hyperlink" Target="https://en.wikipedia.org/wiki/Nestl%C3%A9" TargetMode="External"/><Relationship Id="rId101" Type="http://schemas.openxmlformats.org/officeDocument/2006/relationships/hyperlink" Target="https://en.wikipedia.org/wiki/Nido_(brand)" TargetMode="External"/><Relationship Id="rId4" Type="http://schemas.openxmlformats.org/officeDocument/2006/relationships/hyperlink" Target="https://en.wikipedia.org/wiki/Milo_(drink)" TargetMode="External"/><Relationship Id="rId9" Type="http://schemas.openxmlformats.org/officeDocument/2006/relationships/hyperlink" Target="https://en.wikipedia.org/wiki/List_of_Nestl%C3%A9_brands" TargetMode="External"/><Relationship Id="rId13" Type="http://schemas.openxmlformats.org/officeDocument/2006/relationships/hyperlink" Target="https://en.wikipedia.org/wiki/List_of_Nestl%C3%A9_brands" TargetMode="External"/><Relationship Id="rId18" Type="http://schemas.openxmlformats.org/officeDocument/2006/relationships/hyperlink" Target="https://en.wikipedia.org/wiki/List_of_Nestl%C3%A9_brands" TargetMode="External"/><Relationship Id="rId39" Type="http://schemas.openxmlformats.org/officeDocument/2006/relationships/hyperlink" Target="https://en.wikipedia.org/wiki/Uncle_Tobys" TargetMode="External"/><Relationship Id="rId109" Type="http://schemas.openxmlformats.org/officeDocument/2006/relationships/hyperlink" Target="https://en.wikipedia.org/wiki/List_of_Nestl%C3%A9_brands" TargetMode="External"/><Relationship Id="rId34" Type="http://schemas.openxmlformats.org/officeDocument/2006/relationships/hyperlink" Target="https://en.wikipedia.org/wiki/List_of_Nestl%C3%A9_brands" TargetMode="External"/><Relationship Id="rId50" Type="http://schemas.openxmlformats.org/officeDocument/2006/relationships/hyperlink" Target="https://en.wikipedia.org/wiki/Chokito" TargetMode="External"/><Relationship Id="rId55" Type="http://schemas.openxmlformats.org/officeDocument/2006/relationships/hyperlink" Target="https://en.wikipedia.org/wiki/Lion_(chocolate_bar)" TargetMode="External"/><Relationship Id="rId76" Type="http://schemas.openxmlformats.org/officeDocument/2006/relationships/hyperlink" Target="https://en.wikipedia.org/wiki/List_of_Nestl%C3%A9_brands" TargetMode="External"/><Relationship Id="rId97" Type="http://schemas.openxmlformats.org/officeDocument/2006/relationships/hyperlink" Target="https://en.wikipedia.org/wiki/List_of_Nestl%C3%A9_brands" TargetMode="External"/><Relationship Id="rId104" Type="http://schemas.openxmlformats.org/officeDocument/2006/relationships/hyperlink" Target="https://en.wikipedia.org/wiki/List_of_Nestl%C3%A9_brands" TargetMode="External"/><Relationship Id="rId7" Type="http://schemas.openxmlformats.org/officeDocument/2006/relationships/hyperlink" Target="https://en.wikipedia.org/wiki/S.Pellegrino" TargetMode="External"/><Relationship Id="rId71" Type="http://schemas.openxmlformats.org/officeDocument/2006/relationships/hyperlink" Target="https://en.wikipedia.org/wiki/Walnut_Whip" TargetMode="External"/><Relationship Id="rId92" Type="http://schemas.openxmlformats.org/officeDocument/2006/relationships/hyperlink" Target="https://en.wikipedia.org/wiki/List_of_Nestl%C3%A9_brands" TargetMode="External"/><Relationship Id="rId2" Type="http://schemas.openxmlformats.org/officeDocument/2006/relationships/hyperlink" Target="https://en.wikipedia.org/wiki/Caro_(beverage)" TargetMode="External"/><Relationship Id="rId29" Type="http://schemas.openxmlformats.org/officeDocument/2006/relationships/hyperlink" Target="https://en.wikipedia.org/wiki/List_of_Nestl%C3%A9_brands" TargetMode="External"/><Relationship Id="rId24" Type="http://schemas.openxmlformats.org/officeDocument/2006/relationships/hyperlink" Target="https://en.wikipedia.org/wiki/Sohat" TargetMode="External"/><Relationship Id="rId40" Type="http://schemas.openxmlformats.org/officeDocument/2006/relationships/hyperlink" Target="https://en.wikipedia.org/wiki/List_of_Nestl%C3%A9_brands" TargetMode="External"/><Relationship Id="rId45" Type="http://schemas.openxmlformats.org/officeDocument/2006/relationships/hyperlink" Target="https://en.wikipedia.org/wiki/Big_Turk" TargetMode="External"/><Relationship Id="rId66" Type="http://schemas.openxmlformats.org/officeDocument/2006/relationships/hyperlink" Target="https://en.wikipedia.org/wiki/Smarties" TargetMode="External"/><Relationship Id="rId87" Type="http://schemas.openxmlformats.org/officeDocument/2006/relationships/hyperlink" Target="https://en.wikipedia.org/wiki/Carnation_(brand)" TargetMode="External"/><Relationship Id="rId110" Type="http://schemas.openxmlformats.org/officeDocument/2006/relationships/hyperlink" Target="https://en.wikipedia.org/wiki/Winalot" TargetMode="External"/><Relationship Id="rId115" Type="http://schemas.openxmlformats.org/officeDocument/2006/relationships/hyperlink" Target="https://en.wikipedia.org/wiki/Milo_(drink)" TargetMode="External"/><Relationship Id="rId61" Type="http://schemas.openxmlformats.org/officeDocument/2006/relationships/hyperlink" Target="https://en.wikipedia.org/wiki/Nestl%C3%A9_Munch" TargetMode="External"/><Relationship Id="rId82" Type="http://schemas.openxmlformats.org/officeDocument/2006/relationships/hyperlink" Target="https://en.wikipedia.org/wiki/Nestl%C3%A9_Wagner_GmbH" TargetMode="External"/><Relationship Id="rId19" Type="http://schemas.openxmlformats.org/officeDocument/2006/relationships/hyperlink" Target="https://en.wikipedia.org/wiki/Acqua_Panna" TargetMode="External"/><Relationship Id="rId14" Type="http://schemas.openxmlformats.org/officeDocument/2006/relationships/hyperlink" Target="https://en.wikipedia.org/wiki/Dolce_Gusto" TargetMode="External"/><Relationship Id="rId30" Type="http://schemas.openxmlformats.org/officeDocument/2006/relationships/hyperlink" Target="https://en.wikipedia.org/wiki/List_of_Nestl%C3%A9_brands" TargetMode="External"/><Relationship Id="rId35" Type="http://schemas.openxmlformats.org/officeDocument/2006/relationships/hyperlink" Target="https://en.wikipedia.org/wiki/Lion_Cereal" TargetMode="External"/><Relationship Id="rId56" Type="http://schemas.openxmlformats.org/officeDocument/2006/relationships/hyperlink" Target="https://en.wikipedia.org/wiki/List_of_Nestl%C3%A9_brands" TargetMode="External"/><Relationship Id="rId77" Type="http://schemas.openxmlformats.org/officeDocument/2006/relationships/hyperlink" Target="https://en.wikipedia.org/wiki/California_Pizza_Kitchen" TargetMode="External"/><Relationship Id="rId100" Type="http://schemas.openxmlformats.org/officeDocument/2006/relationships/hyperlink" Target="https://en.wikipedia.org/wiki/Nestl%C3%A9_Bear_Brand" TargetMode="External"/><Relationship Id="rId105" Type="http://schemas.openxmlformats.org/officeDocument/2006/relationships/hyperlink" Target="https://en.wikipedia.org/wiki/List_of_Nestl%C3%A9_brands" TargetMode="External"/><Relationship Id="rId8" Type="http://schemas.openxmlformats.org/officeDocument/2006/relationships/hyperlink" Target="https://en.wikipedia.org/wiki/List_of_Nestl%C3%A9_brands" TargetMode="External"/><Relationship Id="rId51" Type="http://schemas.openxmlformats.org/officeDocument/2006/relationships/hyperlink" Target="https://en.wikipedia.org/wiki/Coffee_Crisp" TargetMode="External"/><Relationship Id="rId72" Type="http://schemas.openxmlformats.org/officeDocument/2006/relationships/hyperlink" Target="https://en.wikipedia.org/wiki/Yorkie_(chocolate_bar)" TargetMode="External"/><Relationship Id="rId93" Type="http://schemas.openxmlformats.org/officeDocument/2006/relationships/hyperlink" Target="https://en.wikipedia.org/wiki/List_of_Nestl%C3%A9_brands" TargetMode="External"/><Relationship Id="rId98" Type="http://schemas.openxmlformats.org/officeDocument/2006/relationships/hyperlink" Target="https://en.wikipedia.org/wiki/Maggi" TargetMode="External"/><Relationship Id="rId3" Type="http://schemas.openxmlformats.org/officeDocument/2006/relationships/hyperlink" Target="https://en.wikipedia.org/wiki/D%27Onofrio_(brand)" TargetMode="External"/><Relationship Id="rId25" Type="http://schemas.openxmlformats.org/officeDocument/2006/relationships/hyperlink" Target="https://en.wikipedia.org/wiki/Vittel_(water)" TargetMode="External"/><Relationship Id="rId46" Type="http://schemas.openxmlformats.org/officeDocument/2006/relationships/hyperlink" Target="https://en.wikipedia.org/wiki/Blue_Riband_(biscuits)" TargetMode="External"/><Relationship Id="rId67" Type="http://schemas.openxmlformats.org/officeDocument/2006/relationships/hyperlink" Target="https://en.wikipedia.org/wiki/Aero_(chocolate)" TargetMode="External"/><Relationship Id="rId116" Type="http://schemas.openxmlformats.org/officeDocument/2006/relationships/hyperlink" Target="https://en.wikipedia.org/wiki/List_of_Nestl%C3%A9_brands" TargetMode="External"/><Relationship Id="rId20" Type="http://schemas.openxmlformats.org/officeDocument/2006/relationships/hyperlink" Target="https://en.wikipedia.org/wiki/Ciego_Montero" TargetMode="External"/><Relationship Id="rId41" Type="http://schemas.openxmlformats.org/officeDocument/2006/relationships/hyperlink" Target="https://en.wikipedia.org/wiki/Abuelita" TargetMode="External"/><Relationship Id="rId62" Type="http://schemas.openxmlformats.org/officeDocument/2006/relationships/hyperlink" Target="https://en.wikipedia.org/wiki/Peppermint_Crisp" TargetMode="External"/><Relationship Id="rId83" Type="http://schemas.openxmlformats.org/officeDocument/2006/relationships/hyperlink" Target="https://en.wikipedia.org/wiki/Drumstick_(ice_cream)" TargetMode="External"/><Relationship Id="rId88" Type="http://schemas.openxmlformats.org/officeDocument/2006/relationships/hyperlink" Target="https://en.wikipedia.org/wiki/List_of_Nestl%C3%A9_brands" TargetMode="External"/><Relationship Id="rId111" Type="http://schemas.openxmlformats.org/officeDocument/2006/relationships/hyperlink" Target="https://en.wikipedia.org/wiki/List_of_Nestl%C3%A9_brands" TargetMode="External"/><Relationship Id="rId15" Type="http://schemas.openxmlformats.org/officeDocument/2006/relationships/hyperlink" Target="https://en.wikipedia.org/wiki/Loumidis" TargetMode="External"/><Relationship Id="rId36" Type="http://schemas.openxmlformats.org/officeDocument/2006/relationships/hyperlink" Target="https://en.wikipedia.org/wiki/Nesquik_(cereal)" TargetMode="External"/><Relationship Id="rId57" Type="http://schemas.openxmlformats.org/officeDocument/2006/relationships/hyperlink" Target="https://en.wikipedia.org/wiki/Matchmakers" TargetMode="External"/><Relationship Id="rId106" Type="http://schemas.openxmlformats.org/officeDocument/2006/relationships/hyperlink" Target="https://en.wikipedia.org/wiki/List_of_Nestl%C3%A9_br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5F43-3206-4407-9CA5-EBCC9E892C8F}">
  <dimension ref="B1:N29"/>
  <sheetViews>
    <sheetView tabSelected="1" workbookViewId="0">
      <selection activeCell="G39" sqref="G39"/>
    </sheetView>
  </sheetViews>
  <sheetFormatPr defaultRowHeight="12.75" x14ac:dyDescent="0.2"/>
  <cols>
    <col min="1" max="1" width="4" customWidth="1"/>
    <col min="2" max="2" width="9.7109375" customWidth="1"/>
  </cols>
  <sheetData>
    <row r="1" spans="2:14" x14ac:dyDescent="0.2">
      <c r="B1" t="s">
        <v>588</v>
      </c>
      <c r="C1">
        <v>0.90608</v>
      </c>
    </row>
    <row r="2" spans="2:14" x14ac:dyDescent="0.2">
      <c r="C2" s="5"/>
    </row>
    <row r="3" spans="2:14" x14ac:dyDescent="0.2">
      <c r="B3" s="26"/>
      <c r="C3" s="27"/>
      <c r="D3" s="28"/>
      <c r="E3" s="24" t="s">
        <v>36</v>
      </c>
      <c r="F3" s="24" t="s">
        <v>35</v>
      </c>
      <c r="G3" s="24" t="s">
        <v>536</v>
      </c>
      <c r="H3" s="25" t="s">
        <v>535</v>
      </c>
      <c r="L3" t="s">
        <v>22</v>
      </c>
      <c r="M3" t="s">
        <v>23</v>
      </c>
    </row>
    <row r="4" spans="2:14" x14ac:dyDescent="0.2">
      <c r="B4" s="33" t="s">
        <v>528</v>
      </c>
      <c r="C4" s="34"/>
      <c r="D4" s="35"/>
      <c r="E4" s="18">
        <v>24786</v>
      </c>
      <c r="F4" s="18">
        <v>25218</v>
      </c>
      <c r="G4" s="21">
        <f>+E4/$E$11</f>
        <v>0.26652186068517603</v>
      </c>
      <c r="H4" s="15">
        <f>+E4/F4-1</f>
        <v>-1.7130620985010725E-2</v>
      </c>
      <c r="K4" t="s">
        <v>17</v>
      </c>
      <c r="L4" s="4">
        <v>74.680000000000007</v>
      </c>
      <c r="M4" s="4">
        <f>+L4/$C$1</f>
        <v>82.420978280063579</v>
      </c>
    </row>
    <row r="5" spans="2:14" x14ac:dyDescent="0.2">
      <c r="B5" s="36" t="s">
        <v>87</v>
      </c>
      <c r="C5" s="37"/>
      <c r="D5" s="38"/>
      <c r="E5" s="19">
        <v>3320</v>
      </c>
      <c r="F5" s="19">
        <v>3536</v>
      </c>
      <c r="G5" s="22">
        <f t="shared" ref="G5:G10" si="0">+E5/$E$11</f>
        <v>3.5699692466504659E-2</v>
      </c>
      <c r="H5" s="16">
        <f t="shared" ref="H5:H10" si="1">+E5/F5-1</f>
        <v>-6.1085972850678738E-2</v>
      </c>
      <c r="K5" t="s">
        <v>11</v>
      </c>
      <c r="L5" s="1">
        <v>2609</v>
      </c>
      <c r="M5" s="1">
        <v>2609</v>
      </c>
      <c r="N5" s="5" t="s">
        <v>31</v>
      </c>
    </row>
    <row r="6" spans="2:14" x14ac:dyDescent="0.2">
      <c r="B6" s="36" t="s">
        <v>529</v>
      </c>
      <c r="C6" s="37"/>
      <c r="D6" s="38"/>
      <c r="E6" s="19">
        <v>10981</v>
      </c>
      <c r="F6" s="19">
        <v>11289</v>
      </c>
      <c r="G6" s="22">
        <f t="shared" si="0"/>
        <v>0.11807780812490591</v>
      </c>
      <c r="H6" s="16">
        <f t="shared" si="1"/>
        <v>-2.7283196031535173E-2</v>
      </c>
      <c r="K6" t="s">
        <v>18</v>
      </c>
      <c r="L6" s="1">
        <f>+L4*L5</f>
        <v>194840.12000000002</v>
      </c>
      <c r="M6" s="1">
        <f>+M4*M5</f>
        <v>215036.33233268588</v>
      </c>
    </row>
    <row r="7" spans="2:14" x14ac:dyDescent="0.2">
      <c r="B7" s="36" t="s">
        <v>530</v>
      </c>
      <c r="C7" s="37"/>
      <c r="D7" s="38"/>
      <c r="E7" s="19">
        <v>15278</v>
      </c>
      <c r="F7" s="19">
        <v>15678</v>
      </c>
      <c r="G7" s="22">
        <f t="shared" si="0"/>
        <v>0.16428310286242714</v>
      </c>
      <c r="H7" s="16">
        <f t="shared" si="1"/>
        <v>-2.5513458349279206E-2</v>
      </c>
      <c r="K7" t="s">
        <v>19</v>
      </c>
      <c r="L7" s="1">
        <f>4865+1529+3175</f>
        <v>9569</v>
      </c>
      <c r="M7" s="1">
        <f>+L7/$C$1</f>
        <v>10560.877626699628</v>
      </c>
      <c r="N7" s="5" t="s">
        <v>31</v>
      </c>
    </row>
    <row r="8" spans="2:14" x14ac:dyDescent="0.2">
      <c r="B8" s="36" t="s">
        <v>531</v>
      </c>
      <c r="C8" s="37"/>
      <c r="D8" s="38"/>
      <c r="E8" s="19">
        <v>11666</v>
      </c>
      <c r="F8" s="19">
        <v>12484</v>
      </c>
      <c r="G8" s="22">
        <f t="shared" si="0"/>
        <v>0.12544355792597689</v>
      </c>
      <c r="H8" s="16">
        <f t="shared" si="1"/>
        <v>-6.5523870554309527E-2</v>
      </c>
      <c r="K8" t="s">
        <v>20</v>
      </c>
      <c r="L8" s="1">
        <f>11223+54644</f>
        <v>65867</v>
      </c>
      <c r="M8" s="1">
        <f>+L8/$C$1</f>
        <v>72694.464064983229</v>
      </c>
      <c r="N8" s="5" t="s">
        <v>31</v>
      </c>
    </row>
    <row r="9" spans="2:14" x14ac:dyDescent="0.2">
      <c r="B9" s="36" t="s">
        <v>532</v>
      </c>
      <c r="C9" s="37"/>
      <c r="D9" s="38"/>
      <c r="E9" s="19">
        <v>8107</v>
      </c>
      <c r="F9" s="19">
        <v>8118</v>
      </c>
      <c r="G9" s="22">
        <f t="shared" si="0"/>
        <v>8.7173917718660621E-2</v>
      </c>
      <c r="H9" s="16">
        <f t="shared" si="1"/>
        <v>-1.3550135501354532E-3</v>
      </c>
      <c r="K9" t="s">
        <v>21</v>
      </c>
      <c r="L9" s="1">
        <f>+L6-L7+L8</f>
        <v>251138.12000000002</v>
      </c>
      <c r="M9" s="1">
        <f>+M6-M7+M8</f>
        <v>277169.9187709695</v>
      </c>
    </row>
    <row r="10" spans="2:14" x14ac:dyDescent="0.2">
      <c r="B10" s="36" t="s">
        <v>533</v>
      </c>
      <c r="C10" s="37"/>
      <c r="D10" s="38"/>
      <c r="E10" s="19">
        <v>18860</v>
      </c>
      <c r="F10" s="19">
        <v>18101</v>
      </c>
      <c r="G10" s="22">
        <f t="shared" si="0"/>
        <v>0.20280006021634875</v>
      </c>
      <c r="H10" s="16">
        <f t="shared" si="1"/>
        <v>4.1931385006353183E-2</v>
      </c>
      <c r="L10" s="1">
        <v>12881</v>
      </c>
      <c r="M10" s="1">
        <f>+L10/$C$1</f>
        <v>14216.184001412679</v>
      </c>
      <c r="N10" s="1"/>
    </row>
    <row r="11" spans="2:14" x14ac:dyDescent="0.2">
      <c r="B11" s="30" t="s">
        <v>534</v>
      </c>
      <c r="C11" s="31"/>
      <c r="D11" s="32"/>
      <c r="E11" s="20">
        <f>+SUM(E4:E10)</f>
        <v>92998</v>
      </c>
      <c r="F11" s="20">
        <f>+SUM(F4:F10)</f>
        <v>94424</v>
      </c>
      <c r="G11" s="23"/>
      <c r="H11" s="17">
        <f>+E11/F11-1</f>
        <v>-1.510209268829954E-2</v>
      </c>
      <c r="L11" s="9">
        <f>+L9/L10</f>
        <v>19.496787516497168</v>
      </c>
      <c r="M11" s="9">
        <f>+M9/M10</f>
        <v>19.496787516497168</v>
      </c>
    </row>
    <row r="12" spans="2:14" x14ac:dyDescent="0.2">
      <c r="B12" s="5"/>
      <c r="C12" s="5"/>
      <c r="D12" s="5"/>
      <c r="E12" s="1"/>
      <c r="F12" s="1"/>
      <c r="H12" s="3"/>
      <c r="L12" s="9"/>
      <c r="M12" s="9"/>
    </row>
    <row r="13" spans="2:14" x14ac:dyDescent="0.2">
      <c r="B13" s="26"/>
      <c r="C13" s="27"/>
      <c r="D13" s="27"/>
      <c r="E13" s="24" t="s">
        <v>36</v>
      </c>
      <c r="F13" s="24" t="s">
        <v>35</v>
      </c>
      <c r="G13" s="24" t="s">
        <v>536</v>
      </c>
      <c r="H13" s="24" t="s">
        <v>535</v>
      </c>
    </row>
    <row r="14" spans="2:14" x14ac:dyDescent="0.2">
      <c r="B14" s="39" t="s">
        <v>537</v>
      </c>
      <c r="C14" s="40"/>
      <c r="D14" s="40"/>
      <c r="E14" s="19">
        <v>25995</v>
      </c>
      <c r="F14" s="19">
        <v>26328</v>
      </c>
      <c r="G14" s="22">
        <f>+E14/$E$22</f>
        <v>0.27952214026108091</v>
      </c>
      <c r="H14" s="22">
        <f>+E14/F14-1</f>
        <v>-1.2648131267092078E-2</v>
      </c>
    </row>
    <row r="15" spans="2:14" x14ac:dyDescent="0.2">
      <c r="B15" s="39" t="s">
        <v>538</v>
      </c>
      <c r="C15" s="40"/>
      <c r="D15" s="40"/>
      <c r="E15" s="19">
        <v>19098</v>
      </c>
      <c r="F15" s="19">
        <v>19128</v>
      </c>
      <c r="G15" s="22">
        <f t="shared" ref="G15:G21" si="2">+E15/$E$22</f>
        <v>0.20535925503774274</v>
      </c>
      <c r="H15" s="22">
        <f t="shared" ref="H15:H22" si="3">+E15/F15-1</f>
        <v>-1.5683814303638632E-3</v>
      </c>
      <c r="L15" t="s">
        <v>544</v>
      </c>
      <c r="M15" t="s">
        <v>546</v>
      </c>
    </row>
    <row r="16" spans="2:14" x14ac:dyDescent="0.2">
      <c r="B16" s="39" t="s">
        <v>539</v>
      </c>
      <c r="C16" s="40"/>
      <c r="D16" s="40"/>
      <c r="E16" s="19">
        <v>17519</v>
      </c>
      <c r="F16" s="19">
        <v>18484</v>
      </c>
      <c r="G16" s="22">
        <f t="shared" si="2"/>
        <v>0.18838039527731779</v>
      </c>
      <c r="H16" s="22">
        <f t="shared" si="3"/>
        <v>-5.2207314434105201E-2</v>
      </c>
      <c r="L16" t="s">
        <v>545</v>
      </c>
      <c r="M16" t="s">
        <v>547</v>
      </c>
    </row>
    <row r="17" spans="2:8" x14ac:dyDescent="0.2">
      <c r="B17" s="39" t="s">
        <v>540</v>
      </c>
      <c r="C17" s="40"/>
      <c r="D17" s="40"/>
      <c r="E17" s="19">
        <v>12196</v>
      </c>
      <c r="F17" s="19">
        <v>11819</v>
      </c>
      <c r="G17" s="22">
        <f t="shared" si="2"/>
        <v>0.13114260521731649</v>
      </c>
      <c r="H17" s="22">
        <f t="shared" si="3"/>
        <v>3.1897791691344546E-2</v>
      </c>
    </row>
    <row r="18" spans="2:8" x14ac:dyDescent="0.2">
      <c r="B18" s="39" t="s">
        <v>541</v>
      </c>
      <c r="C18" s="40"/>
      <c r="D18" s="40"/>
      <c r="E18" s="19">
        <v>5037</v>
      </c>
      <c r="F18" s="19">
        <v>6351</v>
      </c>
      <c r="G18" s="22">
        <f t="shared" si="2"/>
        <v>5.4162455106561432E-2</v>
      </c>
      <c r="H18" s="22">
        <f t="shared" si="3"/>
        <v>-0.2068965517241379</v>
      </c>
    </row>
    <row r="19" spans="2:8" x14ac:dyDescent="0.2">
      <c r="B19" s="39" t="s">
        <v>542</v>
      </c>
      <c r="C19" s="40"/>
      <c r="D19" s="40"/>
      <c r="E19" s="19">
        <v>6498</v>
      </c>
      <c r="F19" s="19">
        <v>6602</v>
      </c>
      <c r="G19" s="22">
        <f t="shared" si="2"/>
        <v>6.9872470375706999E-2</v>
      </c>
      <c r="H19" s="22">
        <f t="shared" si="3"/>
        <v>-1.5752802181157266E-2</v>
      </c>
    </row>
    <row r="20" spans="2:8" x14ac:dyDescent="0.2">
      <c r="B20" s="39" t="s">
        <v>455</v>
      </c>
      <c r="C20" s="40"/>
      <c r="D20" s="40"/>
      <c r="E20" s="19">
        <v>6372</v>
      </c>
      <c r="F20" s="19">
        <v>6448</v>
      </c>
      <c r="G20" s="22">
        <f t="shared" si="2"/>
        <v>6.8517602529086646E-2</v>
      </c>
      <c r="H20" s="22">
        <f t="shared" si="3"/>
        <v>-1.1786600496277888E-2</v>
      </c>
    </row>
    <row r="21" spans="2:8" x14ac:dyDescent="0.2">
      <c r="B21" s="39" t="s">
        <v>543</v>
      </c>
      <c r="C21" s="40"/>
      <c r="D21" s="40"/>
      <c r="E21" s="19">
        <v>283</v>
      </c>
      <c r="F21" s="19">
        <v>264</v>
      </c>
      <c r="G21" s="22">
        <f t="shared" si="2"/>
        <v>3.0430761951869933E-3</v>
      </c>
      <c r="H21" s="22">
        <f t="shared" si="3"/>
        <v>7.1969696969697017E-2</v>
      </c>
    </row>
    <row r="22" spans="2:8" x14ac:dyDescent="0.2">
      <c r="B22" s="30" t="s">
        <v>534</v>
      </c>
      <c r="C22" s="31"/>
      <c r="D22" s="31"/>
      <c r="E22" s="20">
        <f>+SUM(E14:E21)</f>
        <v>92998</v>
      </c>
      <c r="F22" s="20">
        <f>+SUM(F14:F21)</f>
        <v>95424</v>
      </c>
      <c r="G22" s="23"/>
      <c r="H22" s="29">
        <f t="shared" si="3"/>
        <v>-2.5423373574781971E-2</v>
      </c>
    </row>
    <row r="24" spans="2:8" x14ac:dyDescent="0.2">
      <c r="B24" t="s">
        <v>522</v>
      </c>
    </row>
    <row r="25" spans="2:8" x14ac:dyDescent="0.2">
      <c r="B25" t="s">
        <v>523</v>
      </c>
    </row>
    <row r="26" spans="2:8" x14ac:dyDescent="0.2">
      <c r="B26" t="s">
        <v>524</v>
      </c>
    </row>
    <row r="27" spans="2:8" x14ac:dyDescent="0.2">
      <c r="B27" t="s">
        <v>525</v>
      </c>
    </row>
    <row r="28" spans="2:8" x14ac:dyDescent="0.2">
      <c r="B28" t="s">
        <v>526</v>
      </c>
    </row>
    <row r="29" spans="2:8" x14ac:dyDescent="0.2">
      <c r="B29" t="s">
        <v>527</v>
      </c>
    </row>
  </sheetData>
  <mergeCells count="17">
    <mergeCell ref="B16:D16"/>
    <mergeCell ref="B15:D15"/>
    <mergeCell ref="B14:D14"/>
    <mergeCell ref="B22:D22"/>
    <mergeCell ref="B21:D21"/>
    <mergeCell ref="B20:D20"/>
    <mergeCell ref="B19:D19"/>
    <mergeCell ref="B18:D18"/>
    <mergeCell ref="B17:D17"/>
    <mergeCell ref="B11:D11"/>
    <mergeCell ref="B4:D4"/>
    <mergeCell ref="B8:D8"/>
    <mergeCell ref="B7:D7"/>
    <mergeCell ref="B6:D6"/>
    <mergeCell ref="B10:D10"/>
    <mergeCell ref="B9:D9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E541-2973-4078-9F07-61655291D042}">
  <dimension ref="A1:EQ91"/>
  <sheetViews>
    <sheetView zoomScaleNormal="100" workbookViewId="0">
      <pane xSplit="1" ySplit="2" topLeftCell="AO3" activePane="bottomRight" state="frozen"/>
      <selection pane="topRight" activeCell="B1" sqref="B1"/>
      <selection pane="bottomLeft" activeCell="A3" sqref="A3"/>
      <selection pane="bottomRight" activeCell="AW21" sqref="AW21"/>
    </sheetView>
  </sheetViews>
  <sheetFormatPr defaultRowHeight="12.75" x14ac:dyDescent="0.2"/>
  <cols>
    <col min="1" max="1" width="16.7109375" style="1" bestFit="1" customWidth="1"/>
    <col min="2" max="13" width="9.140625" style="1"/>
    <col min="14" max="14" width="10.28515625" style="1" bestFit="1" customWidth="1"/>
    <col min="15" max="16384" width="9.140625" style="1"/>
  </cols>
  <sheetData>
    <row r="1" spans="1:147" s="8" customFormat="1" x14ac:dyDescent="0.2"/>
    <row r="2" spans="1:147" x14ac:dyDescent="0.2">
      <c r="A2" s="2"/>
      <c r="B2" s="2" t="s">
        <v>25</v>
      </c>
      <c r="C2" s="2" t="s">
        <v>40</v>
      </c>
      <c r="D2" s="2" t="s">
        <v>26</v>
      </c>
      <c r="E2" s="2" t="s">
        <v>32</v>
      </c>
      <c r="F2" s="2" t="s">
        <v>27</v>
      </c>
      <c r="G2" s="2" t="s">
        <v>33</v>
      </c>
      <c r="H2" s="2" t="s">
        <v>28</v>
      </c>
      <c r="I2" s="2" t="s">
        <v>34</v>
      </c>
      <c r="J2" s="2" t="s">
        <v>29</v>
      </c>
      <c r="K2" s="2" t="s">
        <v>35</v>
      </c>
      <c r="L2" s="2" t="s">
        <v>30</v>
      </c>
      <c r="M2" s="2" t="s">
        <v>36</v>
      </c>
      <c r="N2" s="2" t="s">
        <v>31</v>
      </c>
      <c r="O2" s="2" t="s">
        <v>37</v>
      </c>
      <c r="P2" s="2" t="s">
        <v>38</v>
      </c>
      <c r="Q2" s="2" t="s">
        <v>39</v>
      </c>
      <c r="R2" s="2"/>
      <c r="S2">
        <v>2013</v>
      </c>
      <c r="T2">
        <v>2014</v>
      </c>
      <c r="U2">
        <f>+T2+1</f>
        <v>2015</v>
      </c>
      <c r="V2">
        <f t="shared" ref="V2:AT2" si="0">+U2+1</f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  <c r="AP2">
        <f t="shared" si="0"/>
        <v>2036</v>
      </c>
      <c r="AQ2">
        <f t="shared" si="0"/>
        <v>2037</v>
      </c>
      <c r="AR2">
        <f t="shared" si="0"/>
        <v>2038</v>
      </c>
      <c r="AS2">
        <f t="shared" si="0"/>
        <v>2039</v>
      </c>
      <c r="AT2">
        <f t="shared" si="0"/>
        <v>2040</v>
      </c>
    </row>
    <row r="3" spans="1:147" s="6" customFormat="1" x14ac:dyDescent="0.2">
      <c r="A3" s="6" t="s">
        <v>0</v>
      </c>
      <c r="B3" s="6">
        <v>43920</v>
      </c>
      <c r="C3" s="6">
        <f>+X3-B3</f>
        <v>47519</v>
      </c>
      <c r="D3" s="6">
        <v>45456</v>
      </c>
      <c r="E3" s="6">
        <f>+Y3-D3</f>
        <v>47112</v>
      </c>
      <c r="F3" s="6">
        <v>41152</v>
      </c>
      <c r="G3" s="6">
        <f>+Z3-F3</f>
        <v>43191</v>
      </c>
      <c r="H3" s="6">
        <v>41755</v>
      </c>
      <c r="I3" s="6">
        <f>+AA3-H3</f>
        <v>45333</v>
      </c>
      <c r="J3" s="6">
        <v>45580</v>
      </c>
      <c r="K3" s="6">
        <f>+AB3-J3</f>
        <v>48844</v>
      </c>
      <c r="L3" s="6">
        <v>46293</v>
      </c>
      <c r="M3" s="6">
        <f>+AC3-L3</f>
        <v>46705</v>
      </c>
      <c r="N3" s="6">
        <v>45045</v>
      </c>
      <c r="Q3" s="10">
        <f>+(AC3/S3)^(1/$R$17)-1</f>
        <v>8.2520322229862053E-4</v>
      </c>
      <c r="S3" s="6">
        <v>92158</v>
      </c>
      <c r="T3" s="6">
        <v>91612</v>
      </c>
      <c r="U3" s="6">
        <v>88785</v>
      </c>
      <c r="V3" s="6">
        <v>89469</v>
      </c>
      <c r="W3" s="6">
        <v>89590</v>
      </c>
      <c r="X3" s="6">
        <v>91439</v>
      </c>
      <c r="Y3" s="6">
        <v>92568</v>
      </c>
      <c r="Z3" s="6">
        <v>84343</v>
      </c>
      <c r="AA3" s="6">
        <v>87088</v>
      </c>
      <c r="AB3" s="6">
        <v>94424</v>
      </c>
      <c r="AC3" s="6">
        <v>92998</v>
      </c>
      <c r="AD3" s="6">
        <f>+AC3*1.02</f>
        <v>94857.96</v>
      </c>
      <c r="AE3" s="6">
        <f>+AD3*1.04</f>
        <v>98652.27840000001</v>
      </c>
      <c r="AF3" s="6">
        <f t="shared" ref="AF3:AT3" si="1">+AE3*1.04</f>
        <v>102598.36953600001</v>
      </c>
      <c r="AG3" s="6">
        <f t="shared" si="1"/>
        <v>106702.30431744002</v>
      </c>
      <c r="AH3" s="6">
        <f t="shared" si="1"/>
        <v>110970.39649013763</v>
      </c>
      <c r="AI3" s="6">
        <f t="shared" si="1"/>
        <v>115409.21234974315</v>
      </c>
      <c r="AJ3" s="6">
        <f t="shared" si="1"/>
        <v>120025.58084373288</v>
      </c>
      <c r="AK3" s="6">
        <f t="shared" si="1"/>
        <v>124826.6040774822</v>
      </c>
      <c r="AL3" s="6">
        <f t="shared" si="1"/>
        <v>129819.66824058149</v>
      </c>
      <c r="AM3" s="6">
        <f t="shared" si="1"/>
        <v>135012.45497020477</v>
      </c>
      <c r="AN3" s="6">
        <f t="shared" si="1"/>
        <v>140412.95316901297</v>
      </c>
      <c r="AO3" s="6">
        <f t="shared" si="1"/>
        <v>146029.47129577349</v>
      </c>
      <c r="AP3" s="6">
        <f t="shared" si="1"/>
        <v>151870.65014760444</v>
      </c>
      <c r="AQ3" s="6">
        <f t="shared" si="1"/>
        <v>157945.47615350861</v>
      </c>
      <c r="AR3" s="6">
        <f t="shared" si="1"/>
        <v>164263.29519964897</v>
      </c>
      <c r="AS3" s="6">
        <f t="shared" si="1"/>
        <v>170833.82700763494</v>
      </c>
      <c r="AT3" s="6">
        <f t="shared" si="1"/>
        <v>177667.18008794036</v>
      </c>
    </row>
    <row r="4" spans="1:147" x14ac:dyDescent="0.2">
      <c r="A4" s="1" t="s">
        <v>1</v>
      </c>
      <c r="B4" s="1">
        <v>22259</v>
      </c>
      <c r="C4" s="1">
        <f>+X4-B4</f>
        <v>23811</v>
      </c>
      <c r="D4" s="1">
        <v>22768</v>
      </c>
      <c r="E4" s="1">
        <f>+Y4-D4</f>
        <v>23879</v>
      </c>
      <c r="F4" s="1">
        <v>21139</v>
      </c>
      <c r="G4" s="1">
        <f>+Z4-F4</f>
        <v>21832</v>
      </c>
      <c r="H4" s="1">
        <v>21399</v>
      </c>
      <c r="I4" s="1">
        <f>+AA4-H4</f>
        <v>24069</v>
      </c>
      <c r="J4" s="1">
        <v>24633</v>
      </c>
      <c r="K4" s="1">
        <f>+AB4-J4</f>
        <v>27112</v>
      </c>
      <c r="L4" s="1">
        <v>25172</v>
      </c>
      <c r="M4" s="1">
        <f>+AC4-L4</f>
        <v>25156</v>
      </c>
      <c r="N4" s="1">
        <v>23790</v>
      </c>
      <c r="Q4" s="3"/>
      <c r="S4" s="1">
        <v>48111</v>
      </c>
      <c r="T4" s="1">
        <v>47553</v>
      </c>
      <c r="U4" s="1">
        <v>44730</v>
      </c>
      <c r="V4" s="1">
        <v>44199</v>
      </c>
      <c r="W4" s="1">
        <v>45571</v>
      </c>
      <c r="X4" s="1">
        <v>46070</v>
      </c>
      <c r="Y4" s="1">
        <v>46647</v>
      </c>
      <c r="Z4" s="1">
        <v>42971</v>
      </c>
      <c r="AA4" s="1">
        <v>45468</v>
      </c>
      <c r="AB4" s="1">
        <v>51745</v>
      </c>
      <c r="AC4" s="1">
        <v>50328</v>
      </c>
      <c r="AD4" s="1">
        <f>+AD3-AD5</f>
        <v>51223.2984</v>
      </c>
      <c r="AE4" s="1">
        <f t="shared" ref="AE4:AT4" si="2">+AE3-AE5</f>
        <v>53272.230336000001</v>
      </c>
      <c r="AF4" s="1">
        <f t="shared" si="2"/>
        <v>55403.119549440002</v>
      </c>
      <c r="AG4" s="1">
        <f t="shared" si="2"/>
        <v>57619.244331417613</v>
      </c>
      <c r="AH4" s="1">
        <f t="shared" si="2"/>
        <v>59924.014104674316</v>
      </c>
      <c r="AI4" s="1">
        <f t="shared" si="2"/>
        <v>62320.974668861294</v>
      </c>
      <c r="AJ4" s="1">
        <f t="shared" si="2"/>
        <v>64813.813655615755</v>
      </c>
      <c r="AK4" s="1">
        <f t="shared" si="2"/>
        <v>67406.366201840385</v>
      </c>
      <c r="AL4" s="1">
        <f t="shared" si="2"/>
        <v>70102.620849914005</v>
      </c>
      <c r="AM4" s="1">
        <f t="shared" si="2"/>
        <v>72906.725683910568</v>
      </c>
      <c r="AN4" s="1">
        <f t="shared" si="2"/>
        <v>75822.994711267005</v>
      </c>
      <c r="AO4" s="1">
        <f t="shared" si="2"/>
        <v>78855.914499717677</v>
      </c>
      <c r="AP4" s="1">
        <f t="shared" si="2"/>
        <v>82010.151079706397</v>
      </c>
      <c r="AQ4" s="1">
        <f t="shared" si="2"/>
        <v>85290.55712289465</v>
      </c>
      <c r="AR4" s="1">
        <f t="shared" si="2"/>
        <v>88702.179407810443</v>
      </c>
      <c r="AS4" s="1">
        <f t="shared" si="2"/>
        <v>92250.266584122859</v>
      </c>
      <c r="AT4" s="1">
        <f t="shared" si="2"/>
        <v>95940.277247487786</v>
      </c>
    </row>
    <row r="5" spans="1:147" x14ac:dyDescent="0.2">
      <c r="A5" s="1" t="s">
        <v>2</v>
      </c>
      <c r="B5" s="1">
        <f t="shared" ref="B5:N5" si="3">+B3-B4</f>
        <v>21661</v>
      </c>
      <c r="C5" s="1">
        <f t="shared" si="3"/>
        <v>23708</v>
      </c>
      <c r="D5" s="1">
        <f t="shared" si="3"/>
        <v>22688</v>
      </c>
      <c r="E5" s="1">
        <f t="shared" si="3"/>
        <v>23233</v>
      </c>
      <c r="F5" s="1">
        <f t="shared" si="3"/>
        <v>20013</v>
      </c>
      <c r="G5" s="1">
        <f t="shared" si="3"/>
        <v>21359</v>
      </c>
      <c r="H5" s="1">
        <f t="shared" si="3"/>
        <v>20356</v>
      </c>
      <c r="I5" s="1">
        <f t="shared" si="3"/>
        <v>21264</v>
      </c>
      <c r="J5" s="1">
        <f t="shared" si="3"/>
        <v>20947</v>
      </c>
      <c r="K5" s="1">
        <f t="shared" si="3"/>
        <v>21732</v>
      </c>
      <c r="L5" s="1">
        <f t="shared" si="3"/>
        <v>21121</v>
      </c>
      <c r="M5" s="1">
        <f t="shared" si="3"/>
        <v>21549</v>
      </c>
      <c r="N5" s="1">
        <f t="shared" si="3"/>
        <v>21255</v>
      </c>
      <c r="S5" s="1">
        <f t="shared" ref="S5:AC5" si="4">+S3-S4</f>
        <v>44047</v>
      </c>
      <c r="T5" s="1">
        <f t="shared" si="4"/>
        <v>44059</v>
      </c>
      <c r="U5" s="1">
        <f t="shared" si="4"/>
        <v>44055</v>
      </c>
      <c r="V5" s="1">
        <f t="shared" si="4"/>
        <v>45270</v>
      </c>
      <c r="W5" s="1">
        <f t="shared" si="4"/>
        <v>44019</v>
      </c>
      <c r="X5" s="1">
        <f t="shared" si="4"/>
        <v>45369</v>
      </c>
      <c r="Y5" s="1">
        <f t="shared" si="4"/>
        <v>45921</v>
      </c>
      <c r="Z5" s="1">
        <f t="shared" si="4"/>
        <v>41372</v>
      </c>
      <c r="AA5" s="1">
        <f t="shared" si="4"/>
        <v>41620</v>
      </c>
      <c r="AB5" s="1">
        <f t="shared" si="4"/>
        <v>42679</v>
      </c>
      <c r="AC5" s="1">
        <f t="shared" si="4"/>
        <v>42670</v>
      </c>
      <c r="AD5" s="1">
        <f>+AD3*0.46</f>
        <v>43634.661600000007</v>
      </c>
      <c r="AE5" s="1">
        <f t="shared" ref="AE5:AT5" si="5">+AE3*0.46</f>
        <v>45380.04806400001</v>
      </c>
      <c r="AF5" s="1">
        <f t="shared" si="5"/>
        <v>47195.249986560011</v>
      </c>
      <c r="AG5" s="1">
        <f t="shared" si="5"/>
        <v>49083.05998602241</v>
      </c>
      <c r="AH5" s="1">
        <f t="shared" si="5"/>
        <v>51046.382385463316</v>
      </c>
      <c r="AI5" s="1">
        <f t="shared" si="5"/>
        <v>53088.237680881852</v>
      </c>
      <c r="AJ5" s="1">
        <f t="shared" si="5"/>
        <v>55211.767188117126</v>
      </c>
      <c r="AK5" s="1">
        <f t="shared" si="5"/>
        <v>57420.237875641818</v>
      </c>
      <c r="AL5" s="1">
        <f t="shared" si="5"/>
        <v>59717.047390667489</v>
      </c>
      <c r="AM5" s="1">
        <f t="shared" si="5"/>
        <v>62105.729286294198</v>
      </c>
      <c r="AN5" s="1">
        <f t="shared" si="5"/>
        <v>64589.958457745968</v>
      </c>
      <c r="AO5" s="1">
        <f t="shared" si="5"/>
        <v>67173.556796055811</v>
      </c>
      <c r="AP5" s="1">
        <f t="shared" si="5"/>
        <v>69860.499067898039</v>
      </c>
      <c r="AQ5" s="1">
        <f t="shared" si="5"/>
        <v>72654.919030613964</v>
      </c>
      <c r="AR5" s="1">
        <f t="shared" si="5"/>
        <v>75561.115791838529</v>
      </c>
      <c r="AS5" s="1">
        <f t="shared" si="5"/>
        <v>78583.560423512085</v>
      </c>
      <c r="AT5" s="1">
        <f t="shared" si="5"/>
        <v>81726.902840452574</v>
      </c>
    </row>
    <row r="6" spans="1:147" x14ac:dyDescent="0.2">
      <c r="A6" s="1" t="s">
        <v>24</v>
      </c>
      <c r="B6" s="1">
        <v>4166</v>
      </c>
      <c r="C6" s="1">
        <f t="shared" ref="C6:C8" si="6">+X6-B6</f>
        <v>4303</v>
      </c>
      <c r="D6" s="1">
        <v>4241</v>
      </c>
      <c r="E6" s="1">
        <f t="shared" ref="E6:E8" si="7">+Y6-D6</f>
        <v>4255</v>
      </c>
      <c r="F6" s="1">
        <v>3899</v>
      </c>
      <c r="G6" s="1">
        <f t="shared" ref="G6:G8" si="8">+Z6-F6</f>
        <v>3962</v>
      </c>
      <c r="H6" s="1">
        <v>3858</v>
      </c>
      <c r="I6" s="1">
        <f t="shared" ref="I6:I8" si="9">+AA6-H6</f>
        <v>4061</v>
      </c>
      <c r="J6" s="1">
        <v>4169</v>
      </c>
      <c r="K6" s="1">
        <f>+AB6-J6</f>
        <v>4217</v>
      </c>
      <c r="L6" s="1">
        <v>3966</v>
      </c>
      <c r="M6" s="1">
        <f>+AC6-L6</f>
        <v>3799</v>
      </c>
      <c r="N6" s="1">
        <v>3789</v>
      </c>
      <c r="Q6" s="10">
        <f>+(AC6/S6)^(1/$R$17)-1</f>
        <v>-4.4561686049509053E-3</v>
      </c>
      <c r="S6" s="1">
        <v>8156</v>
      </c>
      <c r="T6" s="1">
        <v>8217</v>
      </c>
      <c r="U6" s="1">
        <v>7899</v>
      </c>
      <c r="V6" s="1">
        <v>8059</v>
      </c>
      <c r="W6" s="1">
        <v>8023</v>
      </c>
      <c r="X6" s="1">
        <v>8469</v>
      </c>
      <c r="Y6" s="1">
        <v>8496</v>
      </c>
      <c r="Z6" s="1">
        <v>7861</v>
      </c>
      <c r="AA6" s="1">
        <v>7919</v>
      </c>
      <c r="AB6" s="1">
        <v>8386</v>
      </c>
      <c r="AC6" s="1">
        <v>7765</v>
      </c>
      <c r="AD6" s="1">
        <f>+AC6</f>
        <v>7765</v>
      </c>
      <c r="AE6" s="1">
        <f t="shared" ref="AE6:AT6" si="10">+AD6</f>
        <v>7765</v>
      </c>
      <c r="AF6" s="1">
        <f t="shared" si="10"/>
        <v>7765</v>
      </c>
      <c r="AG6" s="1">
        <f t="shared" si="10"/>
        <v>7765</v>
      </c>
      <c r="AH6" s="1">
        <f t="shared" si="10"/>
        <v>7765</v>
      </c>
      <c r="AI6" s="1">
        <f t="shared" si="10"/>
        <v>7765</v>
      </c>
      <c r="AJ6" s="1">
        <f t="shared" si="10"/>
        <v>7765</v>
      </c>
      <c r="AK6" s="1">
        <f t="shared" si="10"/>
        <v>7765</v>
      </c>
      <c r="AL6" s="1">
        <f t="shared" si="10"/>
        <v>7765</v>
      </c>
      <c r="AM6" s="1">
        <f t="shared" si="10"/>
        <v>7765</v>
      </c>
      <c r="AN6" s="1">
        <f t="shared" si="10"/>
        <v>7765</v>
      </c>
      <c r="AO6" s="1">
        <f t="shared" si="10"/>
        <v>7765</v>
      </c>
      <c r="AP6" s="1">
        <f t="shared" si="10"/>
        <v>7765</v>
      </c>
      <c r="AQ6" s="1">
        <f t="shared" si="10"/>
        <v>7765</v>
      </c>
      <c r="AR6" s="1">
        <f t="shared" si="10"/>
        <v>7765</v>
      </c>
      <c r="AS6" s="1">
        <f t="shared" si="10"/>
        <v>7765</v>
      </c>
      <c r="AT6" s="1">
        <f t="shared" si="10"/>
        <v>7765</v>
      </c>
    </row>
    <row r="7" spans="1:147" x14ac:dyDescent="0.2">
      <c r="A7" s="1" t="s">
        <v>3</v>
      </c>
      <c r="B7" s="1">
        <v>9792</v>
      </c>
      <c r="C7" s="1">
        <f t="shared" si="6"/>
        <v>10211</v>
      </c>
      <c r="D7" s="1">
        <v>10032</v>
      </c>
      <c r="E7" s="1">
        <f t="shared" si="7"/>
        <v>9758</v>
      </c>
      <c r="F7" s="1">
        <v>8375</v>
      </c>
      <c r="G7" s="1">
        <f t="shared" si="8"/>
        <v>8995</v>
      </c>
      <c r="H7" s="1">
        <v>8625</v>
      </c>
      <c r="I7" s="1">
        <f t="shared" si="9"/>
        <v>8669</v>
      </c>
      <c r="J7" s="1">
        <v>8465</v>
      </c>
      <c r="K7" s="1">
        <f>+AB7-J7</f>
        <v>8385</v>
      </c>
      <c r="L7" s="1">
        <v>8624</v>
      </c>
      <c r="M7" s="1">
        <f>+AC7-L7</f>
        <v>8925</v>
      </c>
      <c r="N7" s="1">
        <v>8981</v>
      </c>
      <c r="Q7" s="10">
        <f>+(AC7/S7)^(1/$R$17)-1</f>
        <v>-1.0506227891479369E-2</v>
      </c>
      <c r="S7" s="1">
        <v>19711</v>
      </c>
      <c r="T7" s="1">
        <v>19651</v>
      </c>
      <c r="U7" s="1">
        <v>20744</v>
      </c>
      <c r="V7" s="1">
        <v>21485</v>
      </c>
      <c r="W7" s="1">
        <v>19818</v>
      </c>
      <c r="X7" s="1">
        <v>20003</v>
      </c>
      <c r="Y7" s="1">
        <v>19790</v>
      </c>
      <c r="Z7" s="1">
        <v>17370</v>
      </c>
      <c r="AA7" s="1">
        <v>17294</v>
      </c>
      <c r="AB7" s="1">
        <v>16850</v>
      </c>
      <c r="AC7" s="1">
        <v>17549</v>
      </c>
      <c r="AD7" s="1">
        <f>+AC7+539</f>
        <v>18088</v>
      </c>
      <c r="AE7" s="1">
        <f>+AE9-AE6-AE8</f>
        <v>19188.160736000005</v>
      </c>
      <c r="AF7" s="1">
        <f t="shared" ref="AF7:AG7" si="11">+AF9-AF6-AF8</f>
        <v>20332.527165440009</v>
      </c>
      <c r="AG7" s="1">
        <f t="shared" si="11"/>
        <v>21522.668252057603</v>
      </c>
      <c r="AH7" s="1">
        <f>+AG7*1.03</f>
        <v>22168.348299619331</v>
      </c>
      <c r="AI7" s="1">
        <f t="shared" ref="AI7:AT7" si="12">+AH7*1.03</f>
        <v>22833.39874860791</v>
      </c>
      <c r="AJ7" s="1">
        <f t="shared" si="12"/>
        <v>23518.400711066148</v>
      </c>
      <c r="AK7" s="1">
        <f t="shared" si="12"/>
        <v>24223.952732398131</v>
      </c>
      <c r="AL7" s="1">
        <f t="shared" si="12"/>
        <v>24950.671314370076</v>
      </c>
      <c r="AM7" s="1">
        <f t="shared" si="12"/>
        <v>25699.191453801181</v>
      </c>
      <c r="AN7" s="1">
        <f t="shared" si="12"/>
        <v>26470.167197415216</v>
      </c>
      <c r="AO7" s="1">
        <f t="shared" si="12"/>
        <v>27264.272213337674</v>
      </c>
      <c r="AP7" s="1">
        <f t="shared" si="12"/>
        <v>28082.200379737806</v>
      </c>
      <c r="AQ7" s="1">
        <f t="shared" si="12"/>
        <v>28924.66639112994</v>
      </c>
      <c r="AR7" s="1">
        <f t="shared" si="12"/>
        <v>29792.406382863839</v>
      </c>
      <c r="AS7" s="1">
        <f t="shared" si="12"/>
        <v>30686.178574349757</v>
      </c>
      <c r="AT7" s="1">
        <f t="shared" si="12"/>
        <v>31606.763931580252</v>
      </c>
    </row>
    <row r="8" spans="1:147" x14ac:dyDescent="0.2">
      <c r="A8" s="1" t="s">
        <v>4</v>
      </c>
      <c r="B8" s="1">
        <v>794</v>
      </c>
      <c r="C8" s="1">
        <f t="shared" si="6"/>
        <v>893</v>
      </c>
      <c r="D8" s="1">
        <v>800</v>
      </c>
      <c r="E8" s="1">
        <f t="shared" si="7"/>
        <v>872</v>
      </c>
      <c r="F8" s="1">
        <v>734</v>
      </c>
      <c r="G8" s="1">
        <f t="shared" si="8"/>
        <v>842</v>
      </c>
      <c r="H8" s="1">
        <v>793</v>
      </c>
      <c r="I8" s="1">
        <f t="shared" si="9"/>
        <v>877</v>
      </c>
      <c r="J8" s="1">
        <v>808</v>
      </c>
      <c r="K8" s="1">
        <f>+AB8-J8</f>
        <v>888</v>
      </c>
      <c r="L8" s="1">
        <v>810</v>
      </c>
      <c r="M8" s="1">
        <f>+AC8-L8</f>
        <v>846</v>
      </c>
      <c r="N8" s="1">
        <v>830</v>
      </c>
      <c r="Q8" s="10">
        <f>+(AC8/S8)^(1/$R$17)-1</f>
        <v>8.851852078628708E-3</v>
      </c>
      <c r="S8" s="1">
        <v>1503</v>
      </c>
      <c r="T8" s="1">
        <v>1628</v>
      </c>
      <c r="U8" s="1">
        <v>1678</v>
      </c>
      <c r="V8" s="1">
        <v>1736</v>
      </c>
      <c r="W8" s="1">
        <v>1739</v>
      </c>
      <c r="X8" s="1">
        <v>1687</v>
      </c>
      <c r="Y8" s="1">
        <v>1672</v>
      </c>
      <c r="Z8" s="1">
        <v>1576</v>
      </c>
      <c r="AA8" s="1">
        <v>1670</v>
      </c>
      <c r="AB8" s="1">
        <v>1696</v>
      </c>
      <c r="AC8" s="1">
        <v>1656</v>
      </c>
      <c r="AD8" s="1">
        <f>+AC8</f>
        <v>1656</v>
      </c>
      <c r="AE8" s="1">
        <f t="shared" ref="AE8:AT8" si="13">+AD8</f>
        <v>1656</v>
      </c>
      <c r="AF8" s="1">
        <f t="shared" si="13"/>
        <v>1656</v>
      </c>
      <c r="AG8" s="1">
        <f t="shared" si="13"/>
        <v>1656</v>
      </c>
      <c r="AH8" s="1">
        <f t="shared" si="13"/>
        <v>1656</v>
      </c>
      <c r="AI8" s="1">
        <f t="shared" si="13"/>
        <v>1656</v>
      </c>
      <c r="AJ8" s="1">
        <f t="shared" si="13"/>
        <v>1656</v>
      </c>
      <c r="AK8" s="1">
        <f t="shared" si="13"/>
        <v>1656</v>
      </c>
      <c r="AL8" s="1">
        <f t="shared" si="13"/>
        <v>1656</v>
      </c>
      <c r="AM8" s="1">
        <f t="shared" si="13"/>
        <v>1656</v>
      </c>
      <c r="AN8" s="1">
        <f t="shared" si="13"/>
        <v>1656</v>
      </c>
      <c r="AO8" s="1">
        <f t="shared" si="13"/>
        <v>1656</v>
      </c>
      <c r="AP8" s="1">
        <f t="shared" si="13"/>
        <v>1656</v>
      </c>
      <c r="AQ8" s="1">
        <f t="shared" si="13"/>
        <v>1656</v>
      </c>
      <c r="AR8" s="1">
        <f t="shared" si="13"/>
        <v>1656</v>
      </c>
      <c r="AS8" s="1">
        <f t="shared" si="13"/>
        <v>1656</v>
      </c>
      <c r="AT8" s="1">
        <f t="shared" si="13"/>
        <v>1656</v>
      </c>
    </row>
    <row r="9" spans="1:147" x14ac:dyDescent="0.2">
      <c r="A9" s="1" t="s">
        <v>5</v>
      </c>
      <c r="B9" s="1">
        <f t="shared" ref="B9:N9" si="14">+SUM(B6:B8)</f>
        <v>14752</v>
      </c>
      <c r="C9" s="1">
        <f t="shared" si="14"/>
        <v>15407</v>
      </c>
      <c r="D9" s="1">
        <f t="shared" si="14"/>
        <v>15073</v>
      </c>
      <c r="E9" s="1">
        <f t="shared" si="14"/>
        <v>14885</v>
      </c>
      <c r="F9" s="1">
        <f t="shared" si="14"/>
        <v>13008</v>
      </c>
      <c r="G9" s="1">
        <f t="shared" si="14"/>
        <v>13799</v>
      </c>
      <c r="H9" s="1">
        <f t="shared" si="14"/>
        <v>13276</v>
      </c>
      <c r="I9" s="1">
        <f t="shared" si="14"/>
        <v>13607</v>
      </c>
      <c r="J9" s="1">
        <f t="shared" si="14"/>
        <v>13442</v>
      </c>
      <c r="K9" s="1">
        <f t="shared" si="14"/>
        <v>13490</v>
      </c>
      <c r="L9" s="1">
        <f t="shared" si="14"/>
        <v>13400</v>
      </c>
      <c r="M9" s="1">
        <f t="shared" si="14"/>
        <v>13570</v>
      </c>
      <c r="N9" s="1">
        <f t="shared" si="14"/>
        <v>13600</v>
      </c>
      <c r="S9" s="1">
        <f t="shared" ref="S9:AC9" si="15">+SUM(S6:S8)</f>
        <v>29370</v>
      </c>
      <c r="T9" s="1">
        <f t="shared" si="15"/>
        <v>29496</v>
      </c>
      <c r="U9" s="1">
        <f t="shared" si="15"/>
        <v>30321</v>
      </c>
      <c r="V9" s="1">
        <f t="shared" si="15"/>
        <v>31280</v>
      </c>
      <c r="W9" s="1">
        <f t="shared" si="15"/>
        <v>29580</v>
      </c>
      <c r="X9" s="1">
        <f t="shared" si="15"/>
        <v>30159</v>
      </c>
      <c r="Y9" s="1">
        <f t="shared" si="15"/>
        <v>29958</v>
      </c>
      <c r="Z9" s="1">
        <f t="shared" si="15"/>
        <v>26807</v>
      </c>
      <c r="AA9" s="1">
        <f t="shared" si="15"/>
        <v>26883</v>
      </c>
      <c r="AB9" s="1">
        <f t="shared" si="15"/>
        <v>26932</v>
      </c>
      <c r="AC9" s="1">
        <f t="shared" si="15"/>
        <v>26970</v>
      </c>
      <c r="AD9" s="1">
        <f>+AD5-AD10</f>
        <v>27508.808400000005</v>
      </c>
      <c r="AE9" s="1">
        <f t="shared" ref="AE9:AT9" si="16">+AE5-AE10</f>
        <v>28609.160736000005</v>
      </c>
      <c r="AF9" s="1">
        <f t="shared" si="16"/>
        <v>29753.527165440009</v>
      </c>
      <c r="AG9" s="1">
        <f t="shared" si="16"/>
        <v>30943.668252057603</v>
      </c>
      <c r="AH9" s="1">
        <f t="shared" si="16"/>
        <v>32181.414982139919</v>
      </c>
      <c r="AI9" s="1">
        <f t="shared" si="16"/>
        <v>33468.671581425515</v>
      </c>
      <c r="AJ9" s="1">
        <f t="shared" si="16"/>
        <v>34807.418444682538</v>
      </c>
      <c r="AK9" s="1">
        <f t="shared" si="16"/>
        <v>36199.715182469838</v>
      </c>
      <c r="AL9" s="1">
        <f t="shared" si="16"/>
        <v>37647.703789768639</v>
      </c>
      <c r="AM9" s="1">
        <f t="shared" si="16"/>
        <v>39153.611941359384</v>
      </c>
      <c r="AN9" s="1">
        <f t="shared" si="16"/>
        <v>40719.756419013764</v>
      </c>
      <c r="AO9" s="1">
        <f t="shared" si="16"/>
        <v>42348.546675774312</v>
      </c>
      <c r="AP9" s="1">
        <f t="shared" si="16"/>
        <v>44042.48854280528</v>
      </c>
      <c r="AQ9" s="1">
        <f t="shared" si="16"/>
        <v>45804.188084517496</v>
      </c>
      <c r="AR9" s="1">
        <f t="shared" si="16"/>
        <v>47636.3556078982</v>
      </c>
      <c r="AS9" s="1">
        <f t="shared" si="16"/>
        <v>49541.809832214145</v>
      </c>
      <c r="AT9" s="1">
        <f t="shared" si="16"/>
        <v>51523.48222550271</v>
      </c>
    </row>
    <row r="10" spans="1:147" x14ac:dyDescent="0.2">
      <c r="A10" s="1" t="s">
        <v>6</v>
      </c>
      <c r="B10" s="1">
        <f t="shared" ref="B10:N10" si="17">+B5-B9</f>
        <v>6909</v>
      </c>
      <c r="C10" s="1">
        <f t="shared" si="17"/>
        <v>8301</v>
      </c>
      <c r="D10" s="1">
        <f t="shared" si="17"/>
        <v>7615</v>
      </c>
      <c r="E10" s="1">
        <f t="shared" si="17"/>
        <v>8348</v>
      </c>
      <c r="F10" s="1">
        <f t="shared" si="17"/>
        <v>7005</v>
      </c>
      <c r="G10" s="1">
        <f t="shared" si="17"/>
        <v>7560</v>
      </c>
      <c r="H10" s="1">
        <f t="shared" si="17"/>
        <v>7080</v>
      </c>
      <c r="I10" s="1">
        <f t="shared" si="17"/>
        <v>7657</v>
      </c>
      <c r="J10" s="1">
        <f t="shared" si="17"/>
        <v>7505</v>
      </c>
      <c r="K10" s="1">
        <f t="shared" si="17"/>
        <v>8242</v>
      </c>
      <c r="L10" s="1">
        <f t="shared" si="17"/>
        <v>7721</v>
      </c>
      <c r="M10" s="1">
        <f t="shared" si="17"/>
        <v>7979</v>
      </c>
      <c r="N10" s="1">
        <f t="shared" si="17"/>
        <v>7655</v>
      </c>
      <c r="S10" s="1">
        <f t="shared" ref="S10:AC10" si="18">+S5-S9</f>
        <v>14677</v>
      </c>
      <c r="T10" s="1">
        <f t="shared" si="18"/>
        <v>14563</v>
      </c>
      <c r="U10" s="1">
        <f t="shared" si="18"/>
        <v>13734</v>
      </c>
      <c r="V10" s="1">
        <f t="shared" si="18"/>
        <v>13990</v>
      </c>
      <c r="W10" s="1">
        <f t="shared" si="18"/>
        <v>14439</v>
      </c>
      <c r="X10" s="1">
        <f t="shared" si="18"/>
        <v>15210</v>
      </c>
      <c r="Y10" s="1">
        <f t="shared" si="18"/>
        <v>15963</v>
      </c>
      <c r="Z10" s="1">
        <f t="shared" si="18"/>
        <v>14565</v>
      </c>
      <c r="AA10" s="1">
        <f t="shared" si="18"/>
        <v>14737</v>
      </c>
      <c r="AB10" s="1">
        <f t="shared" si="18"/>
        <v>15747</v>
      </c>
      <c r="AC10" s="1">
        <f t="shared" si="18"/>
        <v>15700</v>
      </c>
      <c r="AD10" s="1">
        <f>+AD3*0.17</f>
        <v>16125.853200000001</v>
      </c>
      <c r="AE10" s="1">
        <f t="shared" ref="AE10:AT10" si="19">+AE3*0.17</f>
        <v>16770.887328000004</v>
      </c>
      <c r="AF10" s="1">
        <f t="shared" si="19"/>
        <v>17441.722821120002</v>
      </c>
      <c r="AG10" s="1">
        <f t="shared" si="19"/>
        <v>18139.391733964807</v>
      </c>
      <c r="AH10" s="1">
        <f t="shared" si="19"/>
        <v>18864.967403323397</v>
      </c>
      <c r="AI10" s="1">
        <f t="shared" si="19"/>
        <v>19619.566099456337</v>
      </c>
      <c r="AJ10" s="1">
        <f t="shared" si="19"/>
        <v>20404.348743434592</v>
      </c>
      <c r="AK10" s="1">
        <f t="shared" si="19"/>
        <v>21220.522693171977</v>
      </c>
      <c r="AL10" s="1">
        <f t="shared" si="19"/>
        <v>22069.343600898854</v>
      </c>
      <c r="AM10" s="1">
        <f t="shared" si="19"/>
        <v>22952.117344934813</v>
      </c>
      <c r="AN10" s="1">
        <f t="shared" si="19"/>
        <v>23870.202038732205</v>
      </c>
      <c r="AO10" s="1">
        <f t="shared" si="19"/>
        <v>24825.010120281495</v>
      </c>
      <c r="AP10" s="1">
        <f t="shared" si="19"/>
        <v>25818.010525092755</v>
      </c>
      <c r="AQ10" s="1">
        <f t="shared" si="19"/>
        <v>26850.730946096468</v>
      </c>
      <c r="AR10" s="1">
        <f t="shared" si="19"/>
        <v>27924.760183940329</v>
      </c>
      <c r="AS10" s="1">
        <f t="shared" si="19"/>
        <v>29041.750591297943</v>
      </c>
      <c r="AT10" s="1">
        <f t="shared" si="19"/>
        <v>30203.420614949864</v>
      </c>
    </row>
    <row r="11" spans="1:147" x14ac:dyDescent="0.2">
      <c r="A11" s="1" t="s">
        <v>41</v>
      </c>
      <c r="B11" s="1">
        <f>81-427</f>
        <v>-346</v>
      </c>
      <c r="C11" s="1">
        <f t="shared" ref="C11" si="20">+X11-B11</f>
        <v>-415</v>
      </c>
      <c r="D11" s="1">
        <f>110-614</f>
        <v>-504</v>
      </c>
      <c r="E11" s="1">
        <f t="shared" ref="E11" si="21">+Y11-D11</f>
        <v>-512</v>
      </c>
      <c r="F11" s="1">
        <f>73-520</f>
        <v>-447</v>
      </c>
      <c r="G11" s="1">
        <f>+Z11-F11</f>
        <v>-427</v>
      </c>
      <c r="H11" s="1">
        <f>27-443</f>
        <v>-416</v>
      </c>
      <c r="I11" s="1">
        <f t="shared" ref="I11" si="22">+AA11-H11</f>
        <v>-457</v>
      </c>
      <c r="J11" s="1">
        <f>90-524</f>
        <v>-434</v>
      </c>
      <c r="K11" s="1">
        <f>+AB11-J11</f>
        <v>-606</v>
      </c>
      <c r="L11" s="1">
        <f>154-851</f>
        <v>-697</v>
      </c>
      <c r="M11" s="1">
        <f>+AC11-L11</f>
        <v>-663</v>
      </c>
      <c r="N11" s="1">
        <f>181-925</f>
        <v>-744</v>
      </c>
      <c r="S11" s="1">
        <f>219-850</f>
        <v>-631</v>
      </c>
      <c r="T11" s="1">
        <f>135-772</f>
        <v>-637</v>
      </c>
      <c r="U11" s="1">
        <f>101-725</f>
        <v>-624</v>
      </c>
      <c r="V11" s="1">
        <f>121-758</f>
        <v>-637</v>
      </c>
      <c r="W11" s="1">
        <f>152-848</f>
        <v>-696</v>
      </c>
      <c r="X11" s="1">
        <f>247-1008</f>
        <v>-761</v>
      </c>
      <c r="Y11" s="1">
        <f>200-1216</f>
        <v>-1016</v>
      </c>
      <c r="Z11" s="1">
        <f>109-983</f>
        <v>-874</v>
      </c>
      <c r="AA11" s="1">
        <f>80-953</f>
        <v>-873</v>
      </c>
      <c r="AB11" s="1">
        <f>210-1250</f>
        <v>-1040</v>
      </c>
      <c r="AC11" s="1">
        <f>284-1644</f>
        <v>-1360</v>
      </c>
      <c r="AD11" s="1">
        <f>+AC27*0.03</f>
        <v>-1688.9399999999998</v>
      </c>
      <c r="AE11" s="1">
        <f t="shared" ref="AE11:AT11" si="23">+AD27*0.03</f>
        <v>-1317.5162311199999</v>
      </c>
      <c r="AF11" s="1">
        <f t="shared" si="23"/>
        <v>-922.30734745300788</v>
      </c>
      <c r="AG11" s="1">
        <f t="shared" si="23"/>
        <v>-502.15302536920018</v>
      </c>
      <c r="AH11" s="1">
        <f t="shared" si="23"/>
        <v>-55.841639588063039</v>
      </c>
      <c r="AI11" s="1">
        <f t="shared" si="23"/>
        <v>417.89190328334377</v>
      </c>
      <c r="AJ11" s="1">
        <f t="shared" si="23"/>
        <v>920.36842054745227</v>
      </c>
      <c r="AK11" s="1">
        <f t="shared" si="23"/>
        <v>1452.9668021846321</v>
      </c>
      <c r="AL11" s="1">
        <f t="shared" si="23"/>
        <v>2017.1264563759769</v>
      </c>
      <c r="AM11" s="1">
        <f t="shared" si="23"/>
        <v>2614.3498557162079</v>
      </c>
      <c r="AN11" s="1">
        <f t="shared" si="23"/>
        <v>3246.205188211442</v>
      </c>
      <c r="AO11" s="1">
        <f t="shared" si="23"/>
        <v>3914.3291173219231</v>
      </c>
      <c r="AP11" s="1">
        <f t="shared" si="23"/>
        <v>4620.4296554818429</v>
      </c>
      <c r="AQ11" s="1">
        <f t="shared" si="23"/>
        <v>5366.289155707288</v>
      </c>
      <c r="AR11" s="1">
        <f t="shared" si="23"/>
        <v>6153.7674260894964</v>
      </c>
      <c r="AS11" s="1">
        <f t="shared" si="23"/>
        <v>6984.8049721641937</v>
      </c>
      <c r="AT11" s="1">
        <f t="shared" si="23"/>
        <v>7861.4263723492077</v>
      </c>
    </row>
    <row r="12" spans="1:147" x14ac:dyDescent="0.2">
      <c r="A12" s="1" t="s">
        <v>7</v>
      </c>
      <c r="B12" s="1">
        <f t="shared" ref="B12:N12" si="24">+B10+B11</f>
        <v>6563</v>
      </c>
      <c r="C12" s="1">
        <f t="shared" si="24"/>
        <v>7886</v>
      </c>
      <c r="D12" s="1">
        <f t="shared" si="24"/>
        <v>7111</v>
      </c>
      <c r="E12" s="1">
        <f t="shared" si="24"/>
        <v>7836</v>
      </c>
      <c r="F12" s="1">
        <f t="shared" si="24"/>
        <v>6558</v>
      </c>
      <c r="G12" s="1">
        <f t="shared" si="24"/>
        <v>7133</v>
      </c>
      <c r="H12" s="1">
        <f t="shared" si="24"/>
        <v>6664</v>
      </c>
      <c r="I12" s="1">
        <f t="shared" si="24"/>
        <v>7200</v>
      </c>
      <c r="J12" s="1">
        <f t="shared" si="24"/>
        <v>7071</v>
      </c>
      <c r="K12" s="1">
        <f t="shared" si="24"/>
        <v>7636</v>
      </c>
      <c r="L12" s="1">
        <f t="shared" si="24"/>
        <v>7024</v>
      </c>
      <c r="M12" s="1">
        <f t="shared" si="24"/>
        <v>7316</v>
      </c>
      <c r="N12" s="1">
        <f t="shared" si="24"/>
        <v>6911</v>
      </c>
      <c r="S12" s="1">
        <f t="shared" ref="S12:AD12" si="25">+S10+S11</f>
        <v>14046</v>
      </c>
      <c r="T12" s="1">
        <f t="shared" si="25"/>
        <v>13926</v>
      </c>
      <c r="U12" s="1">
        <f t="shared" si="25"/>
        <v>13110</v>
      </c>
      <c r="V12" s="1">
        <f t="shared" si="25"/>
        <v>13353</v>
      </c>
      <c r="W12" s="1">
        <f t="shared" si="25"/>
        <v>13743</v>
      </c>
      <c r="X12" s="1">
        <f t="shared" si="25"/>
        <v>14449</v>
      </c>
      <c r="Y12" s="1">
        <f t="shared" si="25"/>
        <v>14947</v>
      </c>
      <c r="Z12" s="1">
        <f t="shared" si="25"/>
        <v>13691</v>
      </c>
      <c r="AA12" s="1">
        <f t="shared" si="25"/>
        <v>13864</v>
      </c>
      <c r="AB12" s="1">
        <f t="shared" si="25"/>
        <v>14707</v>
      </c>
      <c r="AC12" s="1">
        <f t="shared" si="25"/>
        <v>14340</v>
      </c>
      <c r="AD12" s="1">
        <f t="shared" si="25"/>
        <v>14436.913200000001</v>
      </c>
      <c r="AE12" s="1">
        <f t="shared" ref="AE12:AT12" si="26">+AE10+AE11</f>
        <v>15453.371096880004</v>
      </c>
      <c r="AF12" s="1">
        <f t="shared" si="26"/>
        <v>16519.415473666995</v>
      </c>
      <c r="AG12" s="1">
        <f t="shared" si="26"/>
        <v>17637.238708595607</v>
      </c>
      <c r="AH12" s="1">
        <f t="shared" si="26"/>
        <v>18809.125763735334</v>
      </c>
      <c r="AI12" s="1">
        <f t="shared" si="26"/>
        <v>20037.458002739681</v>
      </c>
      <c r="AJ12" s="1">
        <f t="shared" si="26"/>
        <v>21324.717163982044</v>
      </c>
      <c r="AK12" s="1">
        <f t="shared" si="26"/>
        <v>22673.489495356611</v>
      </c>
      <c r="AL12" s="1">
        <f t="shared" si="26"/>
        <v>24086.47005727483</v>
      </c>
      <c r="AM12" s="1">
        <f t="shared" si="26"/>
        <v>25566.467200651023</v>
      </c>
      <c r="AN12" s="1">
        <f t="shared" si="26"/>
        <v>27116.407226943647</v>
      </c>
      <c r="AO12" s="1">
        <f t="shared" si="26"/>
        <v>28739.339237603417</v>
      </c>
      <c r="AP12" s="1">
        <f t="shared" si="26"/>
        <v>30438.440180574598</v>
      </c>
      <c r="AQ12" s="1">
        <f t="shared" si="26"/>
        <v>32217.020101803755</v>
      </c>
      <c r="AR12" s="1">
        <f t="shared" si="26"/>
        <v>34078.527610029822</v>
      </c>
      <c r="AS12" s="1">
        <f t="shared" si="26"/>
        <v>36026.555563462134</v>
      </c>
      <c r="AT12" s="1">
        <f t="shared" si="26"/>
        <v>38064.846987299068</v>
      </c>
    </row>
    <row r="13" spans="1:147" x14ac:dyDescent="0.2">
      <c r="A13" s="1" t="s">
        <v>8</v>
      </c>
      <c r="B13" s="1">
        <v>1939</v>
      </c>
      <c r="C13" s="1">
        <f t="shared" ref="C13:C14" si="27">+X13-B13</f>
        <v>1500</v>
      </c>
      <c r="D13" s="1">
        <v>1711</v>
      </c>
      <c r="E13" s="1">
        <f t="shared" ref="E13:E14" si="28">+Y13-D13</f>
        <v>1448</v>
      </c>
      <c r="F13" s="1">
        <v>1998</v>
      </c>
      <c r="G13" s="1">
        <f>+Z13-F13</f>
        <v>1367</v>
      </c>
      <c r="H13" s="1">
        <v>1121</v>
      </c>
      <c r="I13" s="1">
        <f t="shared" ref="I13:I14" si="29">+AA13-H13</f>
        <v>1140</v>
      </c>
      <c r="J13" s="1">
        <v>1499</v>
      </c>
      <c r="K13" s="1">
        <f>+AB13-J13</f>
        <v>1231</v>
      </c>
      <c r="L13" s="1">
        <f>1529</f>
        <v>1529</v>
      </c>
      <c r="M13" s="1">
        <f>+AC13-L13</f>
        <v>785</v>
      </c>
      <c r="N13" s="1">
        <f>1677</f>
        <v>1677</v>
      </c>
      <c r="S13" s="1">
        <v>3256</v>
      </c>
      <c r="T13" s="1">
        <v>3367</v>
      </c>
      <c r="U13" s="1">
        <v>3305</v>
      </c>
      <c r="V13" s="1">
        <v>4413</v>
      </c>
      <c r="W13" s="1">
        <v>2773</v>
      </c>
      <c r="X13" s="1">
        <v>3439</v>
      </c>
      <c r="Y13" s="1">
        <v>3159</v>
      </c>
      <c r="Z13" s="1">
        <v>3365</v>
      </c>
      <c r="AA13" s="1">
        <v>2261</v>
      </c>
      <c r="AB13" s="1">
        <v>2730</v>
      </c>
      <c r="AC13" s="1">
        <v>2314</v>
      </c>
      <c r="AD13" s="1">
        <f>+AD12*0.22</f>
        <v>3176.1209040000003</v>
      </c>
      <c r="AE13" s="1">
        <f t="shared" ref="AE13:AT13" si="30">+AE12*0.22</f>
        <v>3399.7416413136011</v>
      </c>
      <c r="AF13" s="1">
        <f t="shared" si="30"/>
        <v>3634.2714042067391</v>
      </c>
      <c r="AG13" s="1">
        <f t="shared" si="30"/>
        <v>3880.1925158910335</v>
      </c>
      <c r="AH13" s="1">
        <f t="shared" si="30"/>
        <v>4138.0076680217735</v>
      </c>
      <c r="AI13" s="1">
        <f t="shared" si="30"/>
        <v>4408.24076060273</v>
      </c>
      <c r="AJ13" s="1">
        <f t="shared" si="30"/>
        <v>4691.4377760760499</v>
      </c>
      <c r="AK13" s="1">
        <f t="shared" si="30"/>
        <v>4988.1676889784549</v>
      </c>
      <c r="AL13" s="1">
        <f t="shared" si="30"/>
        <v>5299.0234126004625</v>
      </c>
      <c r="AM13" s="1">
        <f t="shared" si="30"/>
        <v>5624.6227841432246</v>
      </c>
      <c r="AN13" s="1">
        <f t="shared" si="30"/>
        <v>5965.6095899276024</v>
      </c>
      <c r="AO13" s="1">
        <f t="shared" si="30"/>
        <v>6322.6546322727518</v>
      </c>
      <c r="AP13" s="1">
        <f t="shared" si="30"/>
        <v>6696.456839726412</v>
      </c>
      <c r="AQ13" s="1">
        <f t="shared" si="30"/>
        <v>7087.7444223968259</v>
      </c>
      <c r="AR13" s="1">
        <f t="shared" si="30"/>
        <v>7497.2760742065611</v>
      </c>
      <c r="AS13" s="1">
        <f t="shared" si="30"/>
        <v>7925.8422239616693</v>
      </c>
      <c r="AT13" s="1">
        <f t="shared" si="30"/>
        <v>8374.2663372057959</v>
      </c>
    </row>
    <row r="14" spans="1:147" x14ac:dyDescent="0.2">
      <c r="A14" s="1" t="s">
        <v>42</v>
      </c>
      <c r="B14" s="1">
        <v>573</v>
      </c>
      <c r="C14" s="1">
        <f t="shared" si="27"/>
        <v>343</v>
      </c>
      <c r="D14" s="1">
        <v>600</v>
      </c>
      <c r="E14" s="1">
        <f t="shared" si="28"/>
        <v>401</v>
      </c>
      <c r="F14" s="1">
        <v>640</v>
      </c>
      <c r="G14" s="1">
        <f>+Z14-F14</f>
        <v>1175</v>
      </c>
      <c r="H14" s="1">
        <v>717</v>
      </c>
      <c r="I14" s="1">
        <f t="shared" si="29"/>
        <v>7934</v>
      </c>
      <c r="J14" s="1">
        <v>716</v>
      </c>
      <c r="K14" s="1">
        <f>+AB14-J14</f>
        <v>324</v>
      </c>
      <c r="L14" s="1">
        <v>749</v>
      </c>
      <c r="M14" s="1">
        <f>+AC14-L14</f>
        <v>371</v>
      </c>
      <c r="N14" s="1">
        <v>745</v>
      </c>
      <c r="S14" s="1">
        <v>1264</v>
      </c>
      <c r="T14" s="1">
        <v>8003</v>
      </c>
      <c r="U14" s="1">
        <v>988</v>
      </c>
      <c r="V14" s="1">
        <v>770</v>
      </c>
      <c r="W14" s="1">
        <v>824</v>
      </c>
      <c r="X14" s="1">
        <v>916</v>
      </c>
      <c r="Y14" s="1">
        <v>1001</v>
      </c>
      <c r="Z14" s="1">
        <v>1815</v>
      </c>
      <c r="AA14" s="1">
        <v>8651</v>
      </c>
      <c r="AB14" s="1">
        <v>1040</v>
      </c>
      <c r="AC14" s="1">
        <v>1120</v>
      </c>
      <c r="AD14" s="1">
        <f>+AC14*1</f>
        <v>1120</v>
      </c>
      <c r="AE14" s="1">
        <f t="shared" ref="AE14:AT14" si="31">+AD14*1</f>
        <v>1120</v>
      </c>
      <c r="AF14" s="1">
        <f t="shared" si="31"/>
        <v>1120</v>
      </c>
      <c r="AG14" s="1">
        <f t="shared" si="31"/>
        <v>1120</v>
      </c>
      <c r="AH14" s="1">
        <f t="shared" si="31"/>
        <v>1120</v>
      </c>
      <c r="AI14" s="1">
        <f t="shared" si="31"/>
        <v>1120</v>
      </c>
      <c r="AJ14" s="1">
        <f t="shared" si="31"/>
        <v>1120</v>
      </c>
      <c r="AK14" s="1">
        <f t="shared" si="31"/>
        <v>1120</v>
      </c>
      <c r="AL14" s="1">
        <f t="shared" si="31"/>
        <v>1120</v>
      </c>
      <c r="AM14" s="1">
        <f t="shared" si="31"/>
        <v>1120</v>
      </c>
      <c r="AN14" s="1">
        <f t="shared" si="31"/>
        <v>1120</v>
      </c>
      <c r="AO14" s="1">
        <f t="shared" si="31"/>
        <v>1120</v>
      </c>
      <c r="AP14" s="1">
        <f t="shared" si="31"/>
        <v>1120</v>
      </c>
      <c r="AQ14" s="1">
        <f t="shared" si="31"/>
        <v>1120</v>
      </c>
      <c r="AR14" s="1">
        <f t="shared" si="31"/>
        <v>1120</v>
      </c>
      <c r="AS14" s="1">
        <f t="shared" si="31"/>
        <v>1120</v>
      </c>
      <c r="AT14" s="1">
        <f t="shared" si="31"/>
        <v>1120</v>
      </c>
    </row>
    <row r="15" spans="1:147" x14ac:dyDescent="0.2">
      <c r="A15" s="1" t="s">
        <v>9</v>
      </c>
      <c r="B15" s="1">
        <f t="shared" ref="B15:N15" si="32">+B12-B13+B14</f>
        <v>5197</v>
      </c>
      <c r="C15" s="1">
        <f t="shared" si="32"/>
        <v>6729</v>
      </c>
      <c r="D15" s="1">
        <f t="shared" si="32"/>
        <v>6000</v>
      </c>
      <c r="E15" s="1">
        <f t="shared" si="32"/>
        <v>6789</v>
      </c>
      <c r="F15" s="1">
        <f t="shared" si="32"/>
        <v>5200</v>
      </c>
      <c r="G15" s="1">
        <f t="shared" si="32"/>
        <v>6941</v>
      </c>
      <c r="H15" s="1">
        <f t="shared" si="32"/>
        <v>6260</v>
      </c>
      <c r="I15" s="1">
        <f t="shared" si="32"/>
        <v>13994</v>
      </c>
      <c r="J15" s="1">
        <f t="shared" si="32"/>
        <v>6288</v>
      </c>
      <c r="K15" s="1">
        <f t="shared" si="32"/>
        <v>6729</v>
      </c>
      <c r="L15" s="1">
        <f t="shared" si="32"/>
        <v>6244</v>
      </c>
      <c r="M15" s="1">
        <f t="shared" si="32"/>
        <v>6902</v>
      </c>
      <c r="N15" s="1">
        <f t="shared" si="32"/>
        <v>5979</v>
      </c>
      <c r="S15" s="1">
        <f t="shared" ref="S15:AD15" si="33">+S12-S13+S14</f>
        <v>12054</v>
      </c>
      <c r="T15" s="1">
        <f t="shared" si="33"/>
        <v>18562</v>
      </c>
      <c r="U15" s="1">
        <f t="shared" si="33"/>
        <v>10793</v>
      </c>
      <c r="V15" s="1">
        <f t="shared" si="33"/>
        <v>9710</v>
      </c>
      <c r="W15" s="1">
        <f t="shared" si="33"/>
        <v>11794</v>
      </c>
      <c r="X15" s="1">
        <f t="shared" si="33"/>
        <v>11926</v>
      </c>
      <c r="Y15" s="1">
        <f t="shared" si="33"/>
        <v>12789</v>
      </c>
      <c r="Z15" s="1">
        <f t="shared" si="33"/>
        <v>12141</v>
      </c>
      <c r="AA15" s="1">
        <f t="shared" si="33"/>
        <v>20254</v>
      </c>
      <c r="AB15" s="1">
        <f t="shared" si="33"/>
        <v>13017</v>
      </c>
      <c r="AC15" s="1">
        <f t="shared" si="33"/>
        <v>13146</v>
      </c>
      <c r="AD15" s="1">
        <f t="shared" si="33"/>
        <v>12380.792296</v>
      </c>
      <c r="AE15" s="1">
        <f t="shared" ref="AE15:AT15" si="34">+AE12-AE13+AE14</f>
        <v>13173.629455566403</v>
      </c>
      <c r="AF15" s="1">
        <f t="shared" si="34"/>
        <v>14005.144069460257</v>
      </c>
      <c r="AG15" s="1">
        <f t="shared" si="34"/>
        <v>14877.046192704573</v>
      </c>
      <c r="AH15" s="1">
        <f t="shared" si="34"/>
        <v>15791.11809571356</v>
      </c>
      <c r="AI15" s="1">
        <f t="shared" si="34"/>
        <v>16749.217242136951</v>
      </c>
      <c r="AJ15" s="1">
        <f t="shared" si="34"/>
        <v>17753.279387905994</v>
      </c>
      <c r="AK15" s="1">
        <f t="shared" si="34"/>
        <v>18805.321806378157</v>
      </c>
      <c r="AL15" s="1">
        <f t="shared" si="34"/>
        <v>19907.446644674368</v>
      </c>
      <c r="AM15" s="1">
        <f t="shared" si="34"/>
        <v>21061.844416507796</v>
      </c>
      <c r="AN15" s="1">
        <f t="shared" si="34"/>
        <v>22270.797637016047</v>
      </c>
      <c r="AO15" s="1">
        <f t="shared" si="34"/>
        <v>23536.684605330665</v>
      </c>
      <c r="AP15" s="1">
        <f t="shared" si="34"/>
        <v>24861.983340848186</v>
      </c>
      <c r="AQ15" s="1">
        <f t="shared" si="34"/>
        <v>26249.275679406928</v>
      </c>
      <c r="AR15" s="1">
        <f t="shared" si="34"/>
        <v>27701.251535823259</v>
      </c>
      <c r="AS15" s="1">
        <f t="shared" si="34"/>
        <v>29220.713339500464</v>
      </c>
      <c r="AT15" s="1">
        <f t="shared" si="34"/>
        <v>30810.580650093274</v>
      </c>
      <c r="AU15" s="1">
        <f>+AT15*(1+$AW$20)</f>
        <v>30502.474843592339</v>
      </c>
      <c r="AV15" s="1">
        <f t="shared" ref="AV15:DG15" si="35">+AU15*(1+$AW$20)</f>
        <v>30197.450095156415</v>
      </c>
      <c r="AW15" s="1">
        <f t="shared" si="35"/>
        <v>29895.47559420485</v>
      </c>
      <c r="AX15" s="1">
        <f t="shared" si="35"/>
        <v>29596.520838262801</v>
      </c>
      <c r="AY15" s="1">
        <f t="shared" si="35"/>
        <v>29300.555629880171</v>
      </c>
      <c r="AZ15" s="1">
        <f t="shared" si="35"/>
        <v>29007.550073581369</v>
      </c>
      <c r="BA15" s="1">
        <f t="shared" si="35"/>
        <v>28717.474572845556</v>
      </c>
      <c r="BB15" s="1">
        <f t="shared" si="35"/>
        <v>28430.299827117102</v>
      </c>
      <c r="BC15" s="1">
        <f t="shared" si="35"/>
        <v>28145.996828845931</v>
      </c>
      <c r="BD15" s="1">
        <f t="shared" si="35"/>
        <v>27864.536860557473</v>
      </c>
      <c r="BE15" s="1">
        <f t="shared" si="35"/>
        <v>27585.891491951897</v>
      </c>
      <c r="BF15" s="1">
        <f t="shared" si="35"/>
        <v>27310.03257703238</v>
      </c>
      <c r="BG15" s="1">
        <f t="shared" si="35"/>
        <v>27036.932251262057</v>
      </c>
      <c r="BH15" s="1">
        <f t="shared" si="35"/>
        <v>26766.562928749434</v>
      </c>
      <c r="BI15" s="1">
        <f t="shared" si="35"/>
        <v>26498.89729946194</v>
      </c>
      <c r="BJ15" s="1">
        <f t="shared" si="35"/>
        <v>26233.908326467321</v>
      </c>
      <c r="BK15" s="1">
        <f t="shared" si="35"/>
        <v>25971.569243202648</v>
      </c>
      <c r="BL15" s="1">
        <f t="shared" si="35"/>
        <v>25711.853550770622</v>
      </c>
      <c r="BM15" s="1">
        <f t="shared" si="35"/>
        <v>25454.735015262915</v>
      </c>
      <c r="BN15" s="1">
        <f t="shared" si="35"/>
        <v>25200.187665110287</v>
      </c>
      <c r="BO15" s="1">
        <f t="shared" si="35"/>
        <v>24948.185788459185</v>
      </c>
      <c r="BP15" s="1">
        <f t="shared" si="35"/>
        <v>24698.703930574593</v>
      </c>
      <c r="BQ15" s="1">
        <f t="shared" si="35"/>
        <v>24451.716891268847</v>
      </c>
      <c r="BR15" s="1">
        <f t="shared" si="35"/>
        <v>24207.199722356159</v>
      </c>
      <c r="BS15" s="1">
        <f t="shared" si="35"/>
        <v>23965.127725132599</v>
      </c>
      <c r="BT15" s="1">
        <f t="shared" si="35"/>
        <v>23725.476447881272</v>
      </c>
      <c r="BU15" s="1">
        <f t="shared" si="35"/>
        <v>23488.221683402458</v>
      </c>
      <c r="BV15" s="1">
        <f t="shared" si="35"/>
        <v>23253.339466568435</v>
      </c>
      <c r="BW15" s="1">
        <f t="shared" si="35"/>
        <v>23020.806071902753</v>
      </c>
      <c r="BX15" s="1">
        <f t="shared" si="35"/>
        <v>22790.598011183723</v>
      </c>
      <c r="BY15" s="1">
        <f t="shared" si="35"/>
        <v>22562.692031071885</v>
      </c>
      <c r="BZ15" s="1">
        <f t="shared" si="35"/>
        <v>22337.065110761167</v>
      </c>
      <c r="CA15" s="1">
        <f t="shared" si="35"/>
        <v>22113.694459653554</v>
      </c>
      <c r="CB15" s="1">
        <f t="shared" si="35"/>
        <v>21892.557515057018</v>
      </c>
      <c r="CC15" s="1">
        <f t="shared" si="35"/>
        <v>21673.631939906449</v>
      </c>
      <c r="CD15" s="1">
        <f t="shared" si="35"/>
        <v>21456.895620507385</v>
      </c>
      <c r="CE15" s="1">
        <f t="shared" si="35"/>
        <v>21242.326664302309</v>
      </c>
      <c r="CF15" s="1">
        <f t="shared" si="35"/>
        <v>21029.903397659287</v>
      </c>
      <c r="CG15" s="1">
        <f t="shared" si="35"/>
        <v>20819.604363682694</v>
      </c>
      <c r="CH15" s="1">
        <f t="shared" si="35"/>
        <v>20611.408320045866</v>
      </c>
      <c r="CI15" s="1">
        <f t="shared" si="35"/>
        <v>20405.294236845406</v>
      </c>
      <c r="CJ15" s="1">
        <f t="shared" si="35"/>
        <v>20201.241294476953</v>
      </c>
      <c r="CK15" s="1">
        <f t="shared" si="35"/>
        <v>19999.228881532184</v>
      </c>
      <c r="CL15" s="1">
        <f t="shared" si="35"/>
        <v>19799.236592716861</v>
      </c>
      <c r="CM15" s="1">
        <f t="shared" si="35"/>
        <v>19601.244226789691</v>
      </c>
      <c r="CN15" s="1">
        <f t="shared" si="35"/>
        <v>19405.231784521795</v>
      </c>
      <c r="CO15" s="1">
        <f t="shared" si="35"/>
        <v>19211.179466676578</v>
      </c>
      <c r="CP15" s="1">
        <f t="shared" si="35"/>
        <v>19019.067672009813</v>
      </c>
      <c r="CQ15" s="1">
        <f t="shared" si="35"/>
        <v>18828.876995289713</v>
      </c>
      <c r="CR15" s="1">
        <f t="shared" si="35"/>
        <v>18640.588225336815</v>
      </c>
      <c r="CS15" s="1">
        <f t="shared" si="35"/>
        <v>18454.182343083445</v>
      </c>
      <c r="CT15" s="1">
        <f t="shared" si="35"/>
        <v>18269.64051965261</v>
      </c>
      <c r="CU15" s="1">
        <f t="shared" si="35"/>
        <v>18086.944114456084</v>
      </c>
      <c r="CV15" s="1">
        <f t="shared" si="35"/>
        <v>17906.074673311523</v>
      </c>
      <c r="CW15" s="1">
        <f t="shared" si="35"/>
        <v>17727.013926578409</v>
      </c>
      <c r="CX15" s="1">
        <f t="shared" si="35"/>
        <v>17549.743787312625</v>
      </c>
      <c r="CY15" s="1">
        <f t="shared" si="35"/>
        <v>17374.246349439498</v>
      </c>
      <c r="CZ15" s="1">
        <f t="shared" si="35"/>
        <v>17200.503885945102</v>
      </c>
      <c r="DA15" s="1">
        <f t="shared" si="35"/>
        <v>17028.498847085652</v>
      </c>
      <c r="DB15" s="1">
        <f t="shared" si="35"/>
        <v>16858.213858614796</v>
      </c>
      <c r="DC15" s="1">
        <f t="shared" si="35"/>
        <v>16689.631720028647</v>
      </c>
      <c r="DD15" s="1">
        <f t="shared" si="35"/>
        <v>16522.735402828359</v>
      </c>
      <c r="DE15" s="1">
        <f t="shared" si="35"/>
        <v>16357.508048800075</v>
      </c>
      <c r="DF15" s="1">
        <f t="shared" si="35"/>
        <v>16193.932968312074</v>
      </c>
      <c r="DG15" s="1">
        <f t="shared" si="35"/>
        <v>16031.993638628954</v>
      </c>
      <c r="DH15" s="1">
        <f t="shared" ref="DH15:EQ15" si="36">+DG15*(1+$AW$20)</f>
        <v>15871.673702242664</v>
      </c>
      <c r="DI15" s="1">
        <f t="shared" si="36"/>
        <v>15712.956965220237</v>
      </c>
      <c r="DJ15" s="1">
        <f t="shared" si="36"/>
        <v>15555.827395568034</v>
      </c>
      <c r="DK15" s="1">
        <f t="shared" si="36"/>
        <v>15400.269121612353</v>
      </c>
      <c r="DL15" s="1">
        <f t="shared" si="36"/>
        <v>15246.26643039623</v>
      </c>
      <c r="DM15" s="1">
        <f t="shared" si="36"/>
        <v>15093.803766092267</v>
      </c>
      <c r="DN15" s="1">
        <f t="shared" si="36"/>
        <v>14942.865728431345</v>
      </c>
      <c r="DO15" s="1">
        <f t="shared" si="36"/>
        <v>14793.437071147031</v>
      </c>
      <c r="DP15" s="1">
        <f t="shared" si="36"/>
        <v>14645.50270043556</v>
      </c>
      <c r="DQ15" s="1">
        <f t="shared" si="36"/>
        <v>14499.047673431203</v>
      </c>
      <c r="DR15" s="1">
        <f t="shared" si="36"/>
        <v>14354.057196696891</v>
      </c>
      <c r="DS15" s="1">
        <f t="shared" si="36"/>
        <v>14210.516624729922</v>
      </c>
      <c r="DT15" s="1">
        <f t="shared" si="36"/>
        <v>14068.411458482622</v>
      </c>
      <c r="DU15" s="1">
        <f t="shared" si="36"/>
        <v>13927.727343897795</v>
      </c>
      <c r="DV15" s="1">
        <f t="shared" si="36"/>
        <v>13788.450070458817</v>
      </c>
      <c r="DW15" s="1">
        <f t="shared" si="36"/>
        <v>13650.56556975423</v>
      </c>
      <c r="DX15" s="1">
        <f t="shared" si="36"/>
        <v>13514.059914056686</v>
      </c>
      <c r="DY15" s="1">
        <f t="shared" si="36"/>
        <v>13378.91931491612</v>
      </c>
      <c r="DZ15" s="1">
        <f t="shared" si="36"/>
        <v>13245.130121766959</v>
      </c>
      <c r="EA15" s="1">
        <f t="shared" si="36"/>
        <v>13112.678820549289</v>
      </c>
      <c r="EB15" s="1">
        <f t="shared" si="36"/>
        <v>12981.552032343796</v>
      </c>
      <c r="EC15" s="1">
        <f t="shared" si="36"/>
        <v>12851.736512020358</v>
      </c>
      <c r="ED15" s="1">
        <f t="shared" si="36"/>
        <v>12723.219146900154</v>
      </c>
      <c r="EE15" s="1">
        <f t="shared" si="36"/>
        <v>12595.986955431152</v>
      </c>
      <c r="EF15" s="1">
        <f t="shared" si="36"/>
        <v>12470.02708587684</v>
      </c>
      <c r="EG15" s="1">
        <f t="shared" si="36"/>
        <v>12345.326815018072</v>
      </c>
      <c r="EH15" s="1">
        <f t="shared" si="36"/>
        <v>12221.873546867891</v>
      </c>
      <c r="EI15" s="1">
        <f t="shared" si="36"/>
        <v>12099.654811399212</v>
      </c>
      <c r="EJ15" s="1">
        <f t="shared" si="36"/>
        <v>11978.658263285221</v>
      </c>
      <c r="EK15" s="1">
        <f t="shared" si="36"/>
        <v>11858.871680652368</v>
      </c>
      <c r="EL15" s="1">
        <f t="shared" si="36"/>
        <v>11740.282963845844</v>
      </c>
      <c r="EM15" s="1">
        <f t="shared" si="36"/>
        <v>11622.880134207386</v>
      </c>
      <c r="EN15" s="1">
        <f t="shared" si="36"/>
        <v>11506.651332865311</v>
      </c>
      <c r="EO15" s="1">
        <f t="shared" si="36"/>
        <v>11391.584819536658</v>
      </c>
      <c r="EP15" s="1">
        <f t="shared" si="36"/>
        <v>11277.668971341291</v>
      </c>
      <c r="EQ15" s="1">
        <f t="shared" si="36"/>
        <v>11164.892281627877</v>
      </c>
    </row>
    <row r="16" spans="1:147" s="4" customFormat="1" x14ac:dyDescent="0.2">
      <c r="A16" s="4" t="s">
        <v>10</v>
      </c>
      <c r="B16" s="4">
        <f t="shared" ref="B16:M16" si="37">+B15/B17</f>
        <v>1.7123558484349259</v>
      </c>
      <c r="C16" s="4">
        <f t="shared" si="37"/>
        <v>2.2288837363365355</v>
      </c>
      <c r="D16" s="4">
        <f t="shared" si="37"/>
        <v>2.0311442112389981</v>
      </c>
      <c r="E16" s="4">
        <f t="shared" si="37"/>
        <v>2.3139059304703475</v>
      </c>
      <c r="F16" s="4">
        <f t="shared" si="37"/>
        <v>1.8181818181818181</v>
      </c>
      <c r="G16" s="4">
        <f t="shared" si="37"/>
        <v>2.4362934362934361</v>
      </c>
      <c r="H16" s="4">
        <f t="shared" si="37"/>
        <v>2.2365130403715612</v>
      </c>
      <c r="I16" s="4">
        <f t="shared" si="37"/>
        <v>5.0139734862056606</v>
      </c>
      <c r="J16" s="4">
        <f t="shared" si="37"/>
        <v>2.3041407108831073</v>
      </c>
      <c r="K16" s="4">
        <f t="shared" si="37"/>
        <v>2.4839424141749724</v>
      </c>
      <c r="L16" s="4">
        <f t="shared" si="37"/>
        <v>2.3500188182160331</v>
      </c>
      <c r="M16" s="4">
        <f t="shared" si="37"/>
        <v>2.6064954682779455</v>
      </c>
      <c r="N16" s="4">
        <f>+N15/N17</f>
        <v>2.2916826370256804</v>
      </c>
      <c r="S16" s="4">
        <f t="shared" ref="S16:Y16" si="38">+S15/T17</f>
        <v>3.7715894868585731</v>
      </c>
      <c r="T16" s="4">
        <f t="shared" si="38"/>
        <v>5.9190051020408161</v>
      </c>
      <c r="U16" s="4">
        <f t="shared" si="38"/>
        <v>3.4849854698094931</v>
      </c>
      <c r="V16" s="4">
        <f t="shared" si="38"/>
        <v>3.1342801807617819</v>
      </c>
      <c r="W16" s="4">
        <f t="shared" si="38"/>
        <v>3.9065915866180854</v>
      </c>
      <c r="X16" s="4">
        <f t="shared" si="38"/>
        <v>4.0647580095432856</v>
      </c>
      <c r="Y16" s="4">
        <f t="shared" si="38"/>
        <v>4.4889434889434892</v>
      </c>
      <c r="Z16" s="4">
        <f>+Z15/Z17</f>
        <v>4.2614952614952619</v>
      </c>
      <c r="AA16" s="4">
        <f>+AA15/AA17</f>
        <v>7.2568971694733069</v>
      </c>
      <c r="AB16" s="4">
        <f>+AB15/AB17</f>
        <v>4.8050941306755259</v>
      </c>
      <c r="AC16" s="4">
        <f>+AC15/AC17</f>
        <v>4.964501510574018</v>
      </c>
      <c r="AD16" s="4">
        <f>+AD15/AD17</f>
        <v>4.7568682384177281</v>
      </c>
      <c r="AE16" s="4">
        <f t="shared" ref="AE16:AT16" si="39">+AE15/AE17</f>
        <v>5.1495442294204734</v>
      </c>
      <c r="AF16" s="4">
        <f t="shared" si="39"/>
        <v>5.5698255719187024</v>
      </c>
      <c r="AG16" s="4">
        <f t="shared" si="39"/>
        <v>6.019513467534046</v>
      </c>
      <c r="AH16" s="4">
        <f t="shared" si="39"/>
        <v>6.5005218942520502</v>
      </c>
      <c r="AI16" s="4">
        <f t="shared" si="39"/>
        <v>7.0148844933255514</v>
      </c>
      <c r="AJ16" s="4">
        <f t="shared" si="39"/>
        <v>7.5647618700792441</v>
      </c>
      <c r="AK16" s="4">
        <f t="shared" si="39"/>
        <v>8.152449333229761</v>
      </c>
      <c r="AL16" s="4">
        <f t="shared" si="39"/>
        <v>8.7803850987888783</v>
      </c>
      <c r="AM16" s="4">
        <f t="shared" si="39"/>
        <v>9.4511589861563721</v>
      </c>
      <c r="AN16" s="4">
        <f t="shared" si="39"/>
        <v>10.167521635638041</v>
      </c>
      <c r="AO16" s="4">
        <f t="shared" si="39"/>
        <v>10.932394278349545</v>
      </c>
      <c r="AP16" s="4">
        <f t="shared" si="39"/>
        <v>11.748879091292638</v>
      </c>
      <c r="AQ16" s="4">
        <f t="shared" si="39"/>
        <v>12.620270172323938</v>
      </c>
      <c r="AR16" s="4">
        <f t="shared" si="39"/>
        <v>13.550065171783173</v>
      </c>
      <c r="AS16" s="4">
        <f t="shared" si="39"/>
        <v>14.541977619714981</v>
      </c>
      <c r="AT16" s="4">
        <f t="shared" si="39"/>
        <v>15.599949989912441</v>
      </c>
    </row>
    <row r="17" spans="1:49" x14ac:dyDescent="0.2">
      <c r="A17" s="1" t="s">
        <v>11</v>
      </c>
      <c r="B17" s="1">
        <v>3035</v>
      </c>
      <c r="C17" s="1">
        <f>+X17</f>
        <v>3019</v>
      </c>
      <c r="D17" s="1">
        <v>2954</v>
      </c>
      <c r="E17" s="1">
        <f>+Y17</f>
        <v>2934</v>
      </c>
      <c r="F17" s="1">
        <v>2860</v>
      </c>
      <c r="G17" s="1">
        <f>+Z17</f>
        <v>2849</v>
      </c>
      <c r="H17" s="1">
        <v>2799</v>
      </c>
      <c r="I17" s="1">
        <f>+AA17</f>
        <v>2791</v>
      </c>
      <c r="J17" s="1">
        <v>2729</v>
      </c>
      <c r="K17" s="1">
        <f>+AB17</f>
        <v>2709</v>
      </c>
      <c r="L17" s="1">
        <v>2657</v>
      </c>
      <c r="M17" s="1">
        <f>+AC17</f>
        <v>2648</v>
      </c>
      <c r="N17" s="1">
        <v>2609</v>
      </c>
      <c r="Q17" s="10">
        <f>+(AC17/S17)^(1/$R$17)-1</f>
        <v>-1.7065986087801077E-2</v>
      </c>
      <c r="R17" s="1">
        <v>11</v>
      </c>
      <c r="S17" s="1">
        <v>3200</v>
      </c>
      <c r="T17" s="1">
        <v>3196</v>
      </c>
      <c r="U17" s="1">
        <v>3136</v>
      </c>
      <c r="V17" s="1">
        <v>3097</v>
      </c>
      <c r="W17" s="1">
        <v>3098</v>
      </c>
      <c r="X17" s="1">
        <v>3019</v>
      </c>
      <c r="Y17" s="1">
        <v>2934</v>
      </c>
      <c r="Z17" s="1">
        <v>2849</v>
      </c>
      <c r="AA17" s="1">
        <v>2791</v>
      </c>
      <c r="AB17" s="1">
        <v>2709</v>
      </c>
      <c r="AC17" s="1">
        <v>2648</v>
      </c>
      <c r="AD17" s="1">
        <f>+AC17*0.9829</f>
        <v>2602.7192</v>
      </c>
      <c r="AE17" s="1">
        <f t="shared" ref="AE17:AT17" si="40">+AD17*0.9829</f>
        <v>2558.21270168</v>
      </c>
      <c r="AF17" s="1">
        <f t="shared" si="40"/>
        <v>2514.4672644812722</v>
      </c>
      <c r="AG17" s="1">
        <f t="shared" si="40"/>
        <v>2471.4698742586424</v>
      </c>
      <c r="AH17" s="1">
        <f t="shared" si="40"/>
        <v>2429.2077394088196</v>
      </c>
      <c r="AI17" s="1">
        <f t="shared" si="40"/>
        <v>2387.6682870649288</v>
      </c>
      <c r="AJ17" s="1">
        <f t="shared" si="40"/>
        <v>2346.8391593561187</v>
      </c>
      <c r="AK17" s="1">
        <f t="shared" si="40"/>
        <v>2306.708209731129</v>
      </c>
      <c r="AL17" s="1">
        <f t="shared" si="40"/>
        <v>2267.2634993447268</v>
      </c>
      <c r="AM17" s="1">
        <f t="shared" si="40"/>
        <v>2228.4932935059319</v>
      </c>
      <c r="AN17" s="1">
        <f t="shared" si="40"/>
        <v>2190.3860581869803</v>
      </c>
      <c r="AO17" s="1">
        <f t="shared" si="40"/>
        <v>2152.9304565919829</v>
      </c>
      <c r="AP17" s="1">
        <f t="shared" si="40"/>
        <v>2116.1153457842602</v>
      </c>
      <c r="AQ17" s="1">
        <f t="shared" si="40"/>
        <v>2079.9297733713493</v>
      </c>
      <c r="AR17" s="1">
        <f t="shared" si="40"/>
        <v>2044.3629742466992</v>
      </c>
      <c r="AS17" s="1">
        <f t="shared" si="40"/>
        <v>2009.4043673870806</v>
      </c>
      <c r="AT17" s="1">
        <f t="shared" si="40"/>
        <v>1975.0435527047614</v>
      </c>
    </row>
    <row r="19" spans="1:49" s="3" customFormat="1" x14ac:dyDescent="0.2">
      <c r="A19" s="3" t="s">
        <v>12</v>
      </c>
      <c r="B19" s="3">
        <f t="shared" ref="B19:N19" si="41">++B5/B3</f>
        <v>0.49319216757741347</v>
      </c>
      <c r="C19" s="3">
        <f t="shared" si="41"/>
        <v>0.4989162229844904</v>
      </c>
      <c r="D19" s="3">
        <f t="shared" si="41"/>
        <v>0.49912002815909889</v>
      </c>
      <c r="E19" s="3">
        <f t="shared" si="41"/>
        <v>0.49314399728307012</v>
      </c>
      <c r="F19" s="3">
        <f t="shared" si="41"/>
        <v>0.48631901244167963</v>
      </c>
      <c r="G19" s="3">
        <f t="shared" si="41"/>
        <v>0.49452432219675396</v>
      </c>
      <c r="H19" s="3">
        <f t="shared" si="41"/>
        <v>0.48751047778709139</v>
      </c>
      <c r="I19" s="3">
        <f t="shared" si="41"/>
        <v>0.46906227251670968</v>
      </c>
      <c r="J19" s="3">
        <f t="shared" si="41"/>
        <v>0.45956559894690652</v>
      </c>
      <c r="K19" s="3">
        <f t="shared" si="41"/>
        <v>0.44492670542953078</v>
      </c>
      <c r="L19" s="3">
        <f t="shared" si="41"/>
        <v>0.45624608472123213</v>
      </c>
      <c r="M19" s="3">
        <f t="shared" si="41"/>
        <v>0.46138529065410555</v>
      </c>
      <c r="N19" s="3">
        <f t="shared" si="41"/>
        <v>0.47186147186147187</v>
      </c>
      <c r="S19" s="3">
        <f t="shared" ref="S19:AD19" si="42">++S5/S3</f>
        <v>0.47795091039302068</v>
      </c>
      <c r="T19" s="3">
        <f t="shared" si="42"/>
        <v>0.48093044579312755</v>
      </c>
      <c r="U19" s="3">
        <f t="shared" si="42"/>
        <v>0.49619868220983276</v>
      </c>
      <c r="V19" s="3">
        <f t="shared" si="42"/>
        <v>0.50598531334875763</v>
      </c>
      <c r="W19" s="3">
        <f t="shared" si="42"/>
        <v>0.49133831900881797</v>
      </c>
      <c r="X19" s="3">
        <f t="shared" si="42"/>
        <v>0.49616684346941675</v>
      </c>
      <c r="Y19" s="3">
        <f t="shared" si="42"/>
        <v>0.49607855846512833</v>
      </c>
      <c r="Z19" s="3">
        <f t="shared" si="42"/>
        <v>0.49052084938880525</v>
      </c>
      <c r="AA19" s="3">
        <f t="shared" si="42"/>
        <v>0.4779074040051442</v>
      </c>
      <c r="AB19" s="3">
        <f t="shared" si="42"/>
        <v>0.45199313733796492</v>
      </c>
      <c r="AC19" s="3">
        <f t="shared" si="42"/>
        <v>0.4588270715499258</v>
      </c>
      <c r="AD19" s="3">
        <f t="shared" si="42"/>
        <v>0.46</v>
      </c>
      <c r="AE19" s="3">
        <f t="shared" ref="AE19:AT19" si="43">++AE5/AE3</f>
        <v>0.46000000000000008</v>
      </c>
      <c r="AF19" s="3">
        <f t="shared" si="43"/>
        <v>0.46000000000000008</v>
      </c>
      <c r="AG19" s="3">
        <f t="shared" si="43"/>
        <v>0.46</v>
      </c>
      <c r="AH19" s="3">
        <f t="shared" si="43"/>
        <v>0.46</v>
      </c>
      <c r="AI19" s="3">
        <f t="shared" si="43"/>
        <v>0.46</v>
      </c>
      <c r="AJ19" s="3">
        <f t="shared" si="43"/>
        <v>0.46</v>
      </c>
      <c r="AK19" s="3">
        <f t="shared" si="43"/>
        <v>0.46</v>
      </c>
      <c r="AL19" s="3">
        <f t="shared" si="43"/>
        <v>0.46</v>
      </c>
      <c r="AM19" s="3">
        <f t="shared" si="43"/>
        <v>0.46</v>
      </c>
      <c r="AN19" s="3">
        <f t="shared" si="43"/>
        <v>0.46</v>
      </c>
      <c r="AO19" s="3">
        <f t="shared" si="43"/>
        <v>0.46</v>
      </c>
      <c r="AP19" s="3">
        <f t="shared" si="43"/>
        <v>0.46</v>
      </c>
      <c r="AQ19" s="3">
        <f t="shared" si="43"/>
        <v>0.46</v>
      </c>
      <c r="AR19" s="3">
        <f t="shared" si="43"/>
        <v>0.46</v>
      </c>
      <c r="AS19" s="3">
        <f t="shared" si="43"/>
        <v>0.46000000000000008</v>
      </c>
      <c r="AT19" s="3">
        <f t="shared" si="43"/>
        <v>0.46000000000000008</v>
      </c>
      <c r="AV19" s="3" t="s">
        <v>48</v>
      </c>
      <c r="AW19" s="3">
        <v>0.02</v>
      </c>
    </row>
    <row r="20" spans="1:49" s="3" customFormat="1" x14ac:dyDescent="0.2">
      <c r="A20" s="3" t="s">
        <v>13</v>
      </c>
      <c r="B20" s="3">
        <f t="shared" ref="B20:N20" si="44">+B10/B3</f>
        <v>0.15730874316939891</v>
      </c>
      <c r="C20" s="3">
        <f t="shared" si="44"/>
        <v>0.17468801952903049</v>
      </c>
      <c r="D20" s="3">
        <f t="shared" si="44"/>
        <v>0.16752463921154523</v>
      </c>
      <c r="E20" s="3">
        <f t="shared" si="44"/>
        <v>0.17719476991000169</v>
      </c>
      <c r="F20" s="3">
        <f t="shared" si="44"/>
        <v>0.17022258942457233</v>
      </c>
      <c r="G20" s="3">
        <f t="shared" si="44"/>
        <v>0.17503646593040217</v>
      </c>
      <c r="H20" s="3">
        <f t="shared" si="44"/>
        <v>0.16956053167285354</v>
      </c>
      <c r="I20" s="3">
        <f t="shared" si="44"/>
        <v>0.16890565371804203</v>
      </c>
      <c r="J20" s="3">
        <f t="shared" si="44"/>
        <v>0.16465555068012286</v>
      </c>
      <c r="K20" s="3">
        <f t="shared" si="44"/>
        <v>0.16874129882892475</v>
      </c>
      <c r="L20" s="3">
        <f t="shared" si="44"/>
        <v>0.16678547512582895</v>
      </c>
      <c r="M20" s="3">
        <f t="shared" si="44"/>
        <v>0.1708382400171288</v>
      </c>
      <c r="N20" s="3">
        <f t="shared" si="44"/>
        <v>0.16994116994116995</v>
      </c>
      <c r="S20" s="3">
        <f t="shared" ref="S20:AD20" si="45">+S10/S3</f>
        <v>0.15925909850474185</v>
      </c>
      <c r="T20" s="3">
        <f t="shared" si="45"/>
        <v>0.15896389119329346</v>
      </c>
      <c r="U20" s="3">
        <f t="shared" si="45"/>
        <v>0.15468829194120629</v>
      </c>
      <c r="V20" s="3">
        <f t="shared" si="45"/>
        <v>0.15636700980227788</v>
      </c>
      <c r="W20" s="3">
        <f t="shared" si="45"/>
        <v>0.16116754102020314</v>
      </c>
      <c r="X20" s="3">
        <f t="shared" si="45"/>
        <v>0.16634040179791992</v>
      </c>
      <c r="Y20" s="3">
        <f t="shared" si="45"/>
        <v>0.1724462017111745</v>
      </c>
      <c r="Z20" s="3">
        <f t="shared" si="45"/>
        <v>0.17268771563733801</v>
      </c>
      <c r="AA20" s="3">
        <f t="shared" si="45"/>
        <v>0.16921963990446445</v>
      </c>
      <c r="AB20" s="3">
        <f t="shared" si="45"/>
        <v>0.16676904176904178</v>
      </c>
      <c r="AC20" s="3">
        <f t="shared" si="45"/>
        <v>0.16882083485666358</v>
      </c>
      <c r="AD20" s="3">
        <f t="shared" si="45"/>
        <v>0.17</v>
      </c>
      <c r="AE20" s="3">
        <f t="shared" ref="AE20:AT20" si="46">+AE10/AE3</f>
        <v>0.17000000000000004</v>
      </c>
      <c r="AF20" s="3">
        <f t="shared" si="46"/>
        <v>0.16999999999999998</v>
      </c>
      <c r="AG20" s="3">
        <f t="shared" si="46"/>
        <v>0.17000000000000004</v>
      </c>
      <c r="AH20" s="3">
        <f t="shared" si="46"/>
        <v>0.16999999999999998</v>
      </c>
      <c r="AI20" s="3">
        <f t="shared" si="46"/>
        <v>0.17</v>
      </c>
      <c r="AJ20" s="3">
        <f t="shared" si="46"/>
        <v>0.17</v>
      </c>
      <c r="AK20" s="3">
        <f t="shared" si="46"/>
        <v>0.17</v>
      </c>
      <c r="AL20" s="3">
        <f t="shared" si="46"/>
        <v>0.17</v>
      </c>
      <c r="AM20" s="3">
        <f t="shared" si="46"/>
        <v>0.17</v>
      </c>
      <c r="AN20" s="3">
        <f t="shared" si="46"/>
        <v>0.17</v>
      </c>
      <c r="AO20" s="3">
        <f t="shared" si="46"/>
        <v>0.17</v>
      </c>
      <c r="AP20" s="3">
        <f t="shared" si="46"/>
        <v>0.17</v>
      </c>
      <c r="AQ20" s="3">
        <f t="shared" si="46"/>
        <v>0.17</v>
      </c>
      <c r="AR20" s="3">
        <f t="shared" si="46"/>
        <v>0.17</v>
      </c>
      <c r="AS20" s="3">
        <f t="shared" si="46"/>
        <v>0.17</v>
      </c>
      <c r="AT20" s="3">
        <f t="shared" si="46"/>
        <v>0.17</v>
      </c>
      <c r="AV20" s="3" t="s">
        <v>49</v>
      </c>
      <c r="AW20" s="3">
        <v>-0.01</v>
      </c>
    </row>
    <row r="21" spans="1:49" s="3" customFormat="1" x14ac:dyDescent="0.2">
      <c r="A21" s="3" t="s">
        <v>14</v>
      </c>
      <c r="B21" s="3">
        <f t="shared" ref="B21:N21" si="47">+B15/B3</f>
        <v>0.11832877959927141</v>
      </c>
      <c r="C21" s="3">
        <f t="shared" si="47"/>
        <v>0.14160651528862139</v>
      </c>
      <c r="D21" s="3">
        <f t="shared" si="47"/>
        <v>0.13199577613516367</v>
      </c>
      <c r="E21" s="3">
        <f t="shared" si="47"/>
        <v>0.14410341314314823</v>
      </c>
      <c r="F21" s="3">
        <f t="shared" si="47"/>
        <v>0.12636080870917574</v>
      </c>
      <c r="G21" s="3">
        <f t="shared" si="47"/>
        <v>0.16070477645805839</v>
      </c>
      <c r="H21" s="3">
        <f t="shared" si="47"/>
        <v>0.14992216501017841</v>
      </c>
      <c r="I21" s="3">
        <f t="shared" si="47"/>
        <v>0.30869344627534023</v>
      </c>
      <c r="J21" s="3">
        <f t="shared" si="47"/>
        <v>0.13795524352786309</v>
      </c>
      <c r="K21" s="3">
        <f t="shared" si="47"/>
        <v>0.13776512980099909</v>
      </c>
      <c r="L21" s="3">
        <f t="shared" si="47"/>
        <v>0.13488000345624609</v>
      </c>
      <c r="M21" s="3">
        <f t="shared" si="47"/>
        <v>0.14777861042714913</v>
      </c>
      <c r="N21" s="3">
        <f t="shared" si="47"/>
        <v>0.13273393273393275</v>
      </c>
      <c r="S21" s="3">
        <f t="shared" ref="S21:AD21" si="48">+S15/S3</f>
        <v>0.13079710931226807</v>
      </c>
      <c r="T21" s="3">
        <f t="shared" si="48"/>
        <v>0.20261537789809195</v>
      </c>
      <c r="U21" s="3">
        <f t="shared" si="48"/>
        <v>0.12156332713859323</v>
      </c>
      <c r="V21" s="3">
        <f t="shared" si="48"/>
        <v>0.10852921123517643</v>
      </c>
      <c r="W21" s="3">
        <f t="shared" si="48"/>
        <v>0.13164415671391896</v>
      </c>
      <c r="X21" s="3">
        <f t="shared" si="48"/>
        <v>0.13042574831308304</v>
      </c>
      <c r="Y21" s="3">
        <f t="shared" si="48"/>
        <v>0.13815789473684212</v>
      </c>
      <c r="Z21" s="3">
        <f t="shared" si="48"/>
        <v>0.14394792691746797</v>
      </c>
      <c r="AA21" s="3">
        <f t="shared" si="48"/>
        <v>0.23256935513503582</v>
      </c>
      <c r="AB21" s="3">
        <f t="shared" si="48"/>
        <v>0.13785690078793528</v>
      </c>
      <c r="AC21" s="3">
        <f t="shared" si="48"/>
        <v>0.1413578786640573</v>
      </c>
      <c r="AD21" s="3">
        <f t="shared" si="48"/>
        <v>0.130519276358041</v>
      </c>
      <c r="AE21" s="3">
        <f t="shared" ref="AE21:AT21" si="49">+AE15/AE3</f>
        <v>0.13353598790847998</v>
      </c>
      <c r="AF21" s="3">
        <f t="shared" si="49"/>
        <v>0.13650454810147925</v>
      </c>
      <c r="AG21" s="3">
        <f t="shared" si="49"/>
        <v>0.13942572550678256</v>
      </c>
      <c r="AH21" s="3">
        <f t="shared" si="49"/>
        <v>0.14230027642657814</v>
      </c>
      <c r="AI21" s="3">
        <f t="shared" si="49"/>
        <v>0.14512894509130775</v>
      </c>
      <c r="AJ21" s="3">
        <f t="shared" si="49"/>
        <v>0.14791246385235035</v>
      </c>
      <c r="AK21" s="3">
        <f t="shared" si="49"/>
        <v>0.15065155337163016</v>
      </c>
      <c r="AL21" s="3">
        <f t="shared" si="49"/>
        <v>0.15334692280819834</v>
      </c>
      <c r="AM21" s="3">
        <f t="shared" si="49"/>
        <v>0.15599927000183672</v>
      </c>
      <c r="AN21" s="3">
        <f t="shared" si="49"/>
        <v>0.15860928165373048</v>
      </c>
      <c r="AO21" s="3">
        <f t="shared" si="49"/>
        <v>0.16117763350425746</v>
      </c>
      <c r="AP21" s="3">
        <f t="shared" si="49"/>
        <v>0.16370499050793952</v>
      </c>
      <c r="AQ21" s="3">
        <f t="shared" si="49"/>
        <v>0.16619200700560124</v>
      </c>
      <c r="AR21" s="3">
        <f t="shared" si="49"/>
        <v>0.16863932689378106</v>
      </c>
      <c r="AS21" s="3">
        <f t="shared" si="49"/>
        <v>0.171047583791438</v>
      </c>
      <c r="AT21" s="3">
        <f t="shared" si="49"/>
        <v>0.17341740120399776</v>
      </c>
      <c r="AV21" s="3" t="s">
        <v>50</v>
      </c>
      <c r="AW21" s="3">
        <v>0.08</v>
      </c>
    </row>
    <row r="22" spans="1:49" s="3" customFormat="1" x14ac:dyDescent="0.2">
      <c r="A22" s="3" t="s">
        <v>15</v>
      </c>
      <c r="B22" s="3">
        <f t="shared" ref="B22:N22" si="50">+B13/B12</f>
        <v>0.29544415663568491</v>
      </c>
      <c r="C22" s="3">
        <f t="shared" si="50"/>
        <v>0.190210499619579</v>
      </c>
      <c r="D22" s="3">
        <f t="shared" si="50"/>
        <v>0.24061313458022782</v>
      </c>
      <c r="E22" s="3">
        <f t="shared" si="50"/>
        <v>0.18478815722307299</v>
      </c>
      <c r="F22" s="3">
        <f t="shared" si="50"/>
        <v>0.30466605672461117</v>
      </c>
      <c r="G22" s="3">
        <f t="shared" si="50"/>
        <v>0.19164446936772747</v>
      </c>
      <c r="H22" s="3">
        <f t="shared" si="50"/>
        <v>0.1682172869147659</v>
      </c>
      <c r="I22" s="3">
        <f t="shared" si="50"/>
        <v>0.15833333333333333</v>
      </c>
      <c r="J22" s="3">
        <f t="shared" si="50"/>
        <v>0.21199264601895065</v>
      </c>
      <c r="K22" s="3">
        <f t="shared" si="50"/>
        <v>0.16121005762179152</v>
      </c>
      <c r="L22" s="3">
        <f t="shared" si="50"/>
        <v>0.21768223234624146</v>
      </c>
      <c r="M22" s="3">
        <f t="shared" si="50"/>
        <v>0.10729907053034445</v>
      </c>
      <c r="N22" s="3">
        <f t="shared" si="50"/>
        <v>0.24265663435103457</v>
      </c>
      <c r="S22" s="3">
        <f t="shared" ref="S22:AD22" si="51">+S13/S12</f>
        <v>0.23180976790545352</v>
      </c>
      <c r="T22" s="3">
        <f t="shared" si="51"/>
        <v>0.24177796926612091</v>
      </c>
      <c r="U22" s="3">
        <f t="shared" si="51"/>
        <v>0.25209763539282992</v>
      </c>
      <c r="V22" s="3">
        <f t="shared" si="51"/>
        <v>0.33048753089193439</v>
      </c>
      <c r="W22" s="3">
        <f t="shared" si="51"/>
        <v>0.20177544931965363</v>
      </c>
      <c r="X22" s="3">
        <f t="shared" si="51"/>
        <v>0.23800955083396774</v>
      </c>
      <c r="Y22" s="3">
        <f t="shared" si="51"/>
        <v>0.2113467585468656</v>
      </c>
      <c r="Z22" s="3">
        <f t="shared" si="51"/>
        <v>0.24578190051858886</v>
      </c>
      <c r="AA22" s="3">
        <f t="shared" si="51"/>
        <v>0.16308424697057125</v>
      </c>
      <c r="AB22" s="3">
        <f t="shared" si="51"/>
        <v>0.18562589243217514</v>
      </c>
      <c r="AC22" s="3">
        <f t="shared" si="51"/>
        <v>0.16136680613668061</v>
      </c>
      <c r="AD22" s="3">
        <f t="shared" si="51"/>
        <v>0.22</v>
      </c>
      <c r="AE22" s="3">
        <f t="shared" ref="AE22:AT22" si="52">+AE13/AE12</f>
        <v>0.22</v>
      </c>
      <c r="AF22" s="3">
        <f t="shared" si="52"/>
        <v>0.22</v>
      </c>
      <c r="AG22" s="3">
        <f t="shared" si="52"/>
        <v>0.22</v>
      </c>
      <c r="AH22" s="3">
        <f t="shared" si="52"/>
        <v>0.22</v>
      </c>
      <c r="AI22" s="3">
        <f t="shared" si="52"/>
        <v>0.22</v>
      </c>
      <c r="AJ22" s="3">
        <f t="shared" si="52"/>
        <v>0.22</v>
      </c>
      <c r="AK22" s="3">
        <f t="shared" si="52"/>
        <v>0.22000000000000003</v>
      </c>
      <c r="AL22" s="3">
        <f t="shared" si="52"/>
        <v>0.22</v>
      </c>
      <c r="AM22" s="3">
        <f t="shared" si="52"/>
        <v>0.21999999999999997</v>
      </c>
      <c r="AN22" s="3">
        <f t="shared" si="52"/>
        <v>0.22</v>
      </c>
      <c r="AO22" s="3">
        <f t="shared" si="52"/>
        <v>0.22</v>
      </c>
      <c r="AP22" s="3">
        <f t="shared" si="52"/>
        <v>0.22</v>
      </c>
      <c r="AQ22" s="3">
        <f t="shared" si="52"/>
        <v>0.22</v>
      </c>
      <c r="AR22" s="3">
        <f t="shared" si="52"/>
        <v>0.22</v>
      </c>
      <c r="AS22" s="3">
        <f t="shared" si="52"/>
        <v>0.22</v>
      </c>
      <c r="AT22" s="3">
        <f t="shared" si="52"/>
        <v>0.22000000000000003</v>
      </c>
      <c r="AV22" s="3" t="s">
        <v>51</v>
      </c>
      <c r="AW22" s="1">
        <f>+NPV(AW21,AD15:EQ15)</f>
        <v>260496.41903479359</v>
      </c>
    </row>
    <row r="23" spans="1:49" s="3" customFormat="1" x14ac:dyDescent="0.2">
      <c r="AV23" s="3" t="s">
        <v>47</v>
      </c>
      <c r="AW23" s="1">
        <f>+AC27</f>
        <v>-56298</v>
      </c>
    </row>
    <row r="24" spans="1:49" s="7" customFormat="1" x14ac:dyDescent="0.2">
      <c r="A24" s="7" t="s">
        <v>16</v>
      </c>
      <c r="D24" s="7">
        <f t="shared" ref="D24:N24" si="53">+D3/B3-1</f>
        <v>3.4972677595628499E-2</v>
      </c>
      <c r="E24" s="7">
        <f t="shared" si="53"/>
        <v>-8.5649950546097253E-3</v>
      </c>
      <c r="F24" s="7">
        <f t="shared" si="53"/>
        <v>-9.4684970080957442E-2</v>
      </c>
      <c r="G24" s="7">
        <f t="shared" si="53"/>
        <v>-8.3227203260315852E-2</v>
      </c>
      <c r="H24" s="7">
        <f t="shared" si="53"/>
        <v>1.4652993779160184E-2</v>
      </c>
      <c r="I24" s="7">
        <f t="shared" si="53"/>
        <v>4.9593665346947313E-2</v>
      </c>
      <c r="J24" s="7">
        <f t="shared" si="53"/>
        <v>9.1605795713088245E-2</v>
      </c>
      <c r="K24" s="7">
        <f t="shared" si="53"/>
        <v>7.7449098890433055E-2</v>
      </c>
      <c r="L24" s="7">
        <f t="shared" si="53"/>
        <v>1.5642825800789906E-2</v>
      </c>
      <c r="M24" s="7">
        <f t="shared" si="53"/>
        <v>-4.3792482188190984E-2</v>
      </c>
      <c r="N24" s="7">
        <f t="shared" si="53"/>
        <v>-2.695871946082562E-2</v>
      </c>
      <c r="S24" s="7" t="e">
        <f t="shared" ref="S24:AC24" si="54">+S3/R3-1</f>
        <v>#DIV/0!</v>
      </c>
      <c r="T24" s="7">
        <f t="shared" si="54"/>
        <v>-5.9246077388832585E-3</v>
      </c>
      <c r="U24" s="7">
        <f t="shared" si="54"/>
        <v>-3.0858402829323617E-2</v>
      </c>
      <c r="V24" s="7">
        <f t="shared" si="54"/>
        <v>7.7040040547389221E-3</v>
      </c>
      <c r="W24" s="7">
        <f t="shared" si="54"/>
        <v>1.3524237445372567E-3</v>
      </c>
      <c r="X24" s="7">
        <f t="shared" si="54"/>
        <v>2.0638464114298483E-2</v>
      </c>
      <c r="Y24" s="7">
        <f t="shared" si="54"/>
        <v>1.2347029166985601E-2</v>
      </c>
      <c r="Z24" s="7">
        <f t="shared" si="54"/>
        <v>-8.8853599516031445E-2</v>
      </c>
      <c r="AA24" s="7">
        <f t="shared" si="54"/>
        <v>3.2545676582526051E-2</v>
      </c>
      <c r="AB24" s="7">
        <f t="shared" si="54"/>
        <v>8.42366342090759E-2</v>
      </c>
      <c r="AC24" s="7">
        <f t="shared" si="54"/>
        <v>-1.510209268829954E-2</v>
      </c>
      <c r="AD24" s="7">
        <f t="shared" ref="AD24:AT24" si="55">+AD3/AC3-1</f>
        <v>2.0000000000000018E-2</v>
      </c>
      <c r="AE24" s="7">
        <f t="shared" si="55"/>
        <v>4.0000000000000036E-2</v>
      </c>
      <c r="AF24" s="7">
        <f t="shared" si="55"/>
        <v>4.0000000000000036E-2</v>
      </c>
      <c r="AG24" s="7">
        <f t="shared" si="55"/>
        <v>4.0000000000000036E-2</v>
      </c>
      <c r="AH24" s="7">
        <f t="shared" si="55"/>
        <v>4.0000000000000036E-2</v>
      </c>
      <c r="AI24" s="7">
        <f t="shared" si="55"/>
        <v>4.0000000000000036E-2</v>
      </c>
      <c r="AJ24" s="7">
        <f t="shared" si="55"/>
        <v>4.0000000000000036E-2</v>
      </c>
      <c r="AK24" s="7">
        <f t="shared" si="55"/>
        <v>4.0000000000000036E-2</v>
      </c>
      <c r="AL24" s="7">
        <f t="shared" si="55"/>
        <v>4.0000000000000036E-2</v>
      </c>
      <c r="AM24" s="7">
        <f t="shared" si="55"/>
        <v>4.0000000000000036E-2</v>
      </c>
      <c r="AN24" s="7">
        <f t="shared" si="55"/>
        <v>4.0000000000000036E-2</v>
      </c>
      <c r="AO24" s="7">
        <f t="shared" si="55"/>
        <v>4.0000000000000036E-2</v>
      </c>
      <c r="AP24" s="7">
        <f t="shared" si="55"/>
        <v>4.0000000000000036E-2</v>
      </c>
      <c r="AQ24" s="7">
        <f t="shared" si="55"/>
        <v>4.0000000000000036E-2</v>
      </c>
      <c r="AR24" s="7">
        <f t="shared" si="55"/>
        <v>4.0000000000000036E-2</v>
      </c>
      <c r="AS24" s="7">
        <f t="shared" si="55"/>
        <v>4.0000000000000036E-2</v>
      </c>
      <c r="AT24" s="7">
        <f t="shared" si="55"/>
        <v>4.0000000000000036E-2</v>
      </c>
      <c r="AV24" s="3" t="s">
        <v>52</v>
      </c>
      <c r="AW24" s="1">
        <f>+AW22+AW23</f>
        <v>204198.41903479359</v>
      </c>
    </row>
    <row r="25" spans="1:49" s="7" customFormat="1" x14ac:dyDescent="0.2">
      <c r="AV25" s="3" t="s">
        <v>17</v>
      </c>
      <c r="AW25" s="4">
        <f>+AW24/Main!L5</f>
        <v>78.266929488230588</v>
      </c>
    </row>
    <row r="26" spans="1:49" s="3" customFormat="1" x14ac:dyDescent="0.2">
      <c r="A26" s="3" t="s">
        <v>566</v>
      </c>
      <c r="M26" s="3">
        <f>+SUM(L11:M11)/M27</f>
        <v>2.9283207372478092E-2</v>
      </c>
      <c r="N26" s="3">
        <f>+SUM(M11:N11)/N27</f>
        <v>2.4992006820846211E-2</v>
      </c>
      <c r="AV26" s="3" t="s">
        <v>53</v>
      </c>
      <c r="AW26" s="4">
        <v>74.680000000000007</v>
      </c>
    </row>
    <row r="27" spans="1:49" x14ac:dyDescent="0.2">
      <c r="A27" s="1" t="s">
        <v>47</v>
      </c>
      <c r="M27" s="1">
        <f>+M28-M41</f>
        <v>-46443</v>
      </c>
      <c r="N27" s="1">
        <f>+N28-N41</f>
        <v>-56298</v>
      </c>
      <c r="AC27" s="1">
        <f>+N27</f>
        <v>-56298</v>
      </c>
      <c r="AD27" s="1">
        <f>+AC27+AD15</f>
        <v>-43917.207704</v>
      </c>
      <c r="AE27" s="1">
        <f t="shared" ref="AE27:AT27" si="56">+AD27+AE15</f>
        <v>-30743.578248433598</v>
      </c>
      <c r="AF27" s="1">
        <f t="shared" si="56"/>
        <v>-16738.434178973341</v>
      </c>
      <c r="AG27" s="1">
        <f t="shared" si="56"/>
        <v>-1861.3879862687681</v>
      </c>
      <c r="AH27" s="1">
        <f t="shared" si="56"/>
        <v>13929.730109444792</v>
      </c>
      <c r="AI27" s="1">
        <f t="shared" si="56"/>
        <v>30678.947351581744</v>
      </c>
      <c r="AJ27" s="1">
        <f t="shared" si="56"/>
        <v>48432.226739487742</v>
      </c>
      <c r="AK27" s="1">
        <f t="shared" si="56"/>
        <v>67237.548545865895</v>
      </c>
      <c r="AL27" s="1">
        <f t="shared" si="56"/>
        <v>87144.99519054027</v>
      </c>
      <c r="AM27" s="1">
        <f t="shared" si="56"/>
        <v>108206.83960704807</v>
      </c>
      <c r="AN27" s="1">
        <f t="shared" si="56"/>
        <v>130477.63724406411</v>
      </c>
      <c r="AO27" s="1">
        <f t="shared" si="56"/>
        <v>154014.32184939476</v>
      </c>
      <c r="AP27" s="1">
        <f t="shared" si="56"/>
        <v>178876.30519024294</v>
      </c>
      <c r="AQ27" s="1">
        <f t="shared" si="56"/>
        <v>205125.58086964989</v>
      </c>
      <c r="AR27" s="1">
        <f t="shared" si="56"/>
        <v>232826.83240547313</v>
      </c>
      <c r="AS27" s="1">
        <f t="shared" si="56"/>
        <v>262047.54574497358</v>
      </c>
      <c r="AT27" s="1">
        <f t="shared" si="56"/>
        <v>292858.12639506685</v>
      </c>
      <c r="AV27" s="1" t="s">
        <v>54</v>
      </c>
      <c r="AW27" s="3">
        <f>+AW25/AW26-1</f>
        <v>4.803065731428191E-2</v>
      </c>
    </row>
    <row r="28" spans="1:49" x14ac:dyDescent="0.2">
      <c r="A28" s="1" t="s">
        <v>19</v>
      </c>
      <c r="M28" s="1">
        <f>4816+1035+2947</f>
        <v>8798</v>
      </c>
      <c r="N28" s="1">
        <f>4865+1529+3175</f>
        <v>9569</v>
      </c>
    </row>
    <row r="29" spans="1:49" x14ac:dyDescent="0.2">
      <c r="A29" s="1" t="s">
        <v>548</v>
      </c>
      <c r="M29" s="1">
        <v>11896</v>
      </c>
      <c r="N29" s="1">
        <v>13146</v>
      </c>
    </row>
    <row r="30" spans="1:49" x14ac:dyDescent="0.2">
      <c r="A30" s="1" t="s">
        <v>549</v>
      </c>
      <c r="M30" s="1">
        <v>10995</v>
      </c>
      <c r="N30" s="1">
        <v>11673</v>
      </c>
    </row>
    <row r="31" spans="1:49" x14ac:dyDescent="0.2">
      <c r="A31" s="1" t="s">
        <v>550</v>
      </c>
      <c r="M31" s="1">
        <v>521</v>
      </c>
      <c r="N31" s="1">
        <v>771</v>
      </c>
    </row>
    <row r="32" spans="1:49" x14ac:dyDescent="0.2">
      <c r="A32" s="1" t="s">
        <v>551</v>
      </c>
      <c r="M32" s="1">
        <f>278+130</f>
        <v>408</v>
      </c>
      <c r="N32" s="1">
        <f>493+125</f>
        <v>618</v>
      </c>
    </row>
    <row r="33" spans="1:14" x14ac:dyDescent="0.2">
      <c r="A33" s="1" t="s">
        <v>552</v>
      </c>
      <c r="M33" s="1">
        <v>1284</v>
      </c>
      <c r="N33" s="1">
        <v>1380</v>
      </c>
    </row>
    <row r="34" spans="1:14" x14ac:dyDescent="0.2">
      <c r="A34" s="1" t="s">
        <v>553</v>
      </c>
      <c r="M34" s="1">
        <v>32</v>
      </c>
      <c r="N34" s="1">
        <v>71</v>
      </c>
    </row>
    <row r="35" spans="1:14" x14ac:dyDescent="0.2">
      <c r="A35" s="1" t="s">
        <v>554</v>
      </c>
      <c r="M35" s="1">
        <v>30467</v>
      </c>
      <c r="N35" s="1">
        <v>32236</v>
      </c>
    </row>
    <row r="36" spans="1:14" x14ac:dyDescent="0.2">
      <c r="A36" s="1" t="s">
        <v>555</v>
      </c>
      <c r="M36" s="1">
        <f>28693+18225</f>
        <v>46918</v>
      </c>
      <c r="N36" s="1">
        <f>30638+19210</f>
        <v>49848</v>
      </c>
    </row>
    <row r="37" spans="1:14" x14ac:dyDescent="0.2">
      <c r="A37" s="1" t="s">
        <v>556</v>
      </c>
      <c r="M37" s="1">
        <v>13088</v>
      </c>
      <c r="N37" s="1">
        <v>13961</v>
      </c>
    </row>
    <row r="38" spans="1:14" x14ac:dyDescent="0.2">
      <c r="A38" s="1" t="s">
        <v>557</v>
      </c>
      <c r="M38" s="1">
        <v>962</v>
      </c>
      <c r="N38" s="1">
        <v>1148</v>
      </c>
    </row>
    <row r="39" spans="1:14" x14ac:dyDescent="0.2">
      <c r="A39" s="1" t="s">
        <v>558</v>
      </c>
      <c r="M39" s="1">
        <v>1181</v>
      </c>
      <c r="N39" s="1">
        <v>1183</v>
      </c>
    </row>
    <row r="40" spans="1:14" s="6" customFormat="1" x14ac:dyDescent="0.2">
      <c r="A40" s="6" t="s">
        <v>559</v>
      </c>
      <c r="M40" s="6">
        <f>+SUM(M28:M39)</f>
        <v>126550</v>
      </c>
      <c r="N40" s="6">
        <f>+SUM(N28:N39)</f>
        <v>135604</v>
      </c>
    </row>
    <row r="41" spans="1:14" x14ac:dyDescent="0.2">
      <c r="A41" s="1" t="s">
        <v>20</v>
      </c>
      <c r="M41" s="1">
        <f>9416+45825</f>
        <v>55241</v>
      </c>
      <c r="N41" s="1">
        <f>11223+54644</f>
        <v>65867</v>
      </c>
    </row>
    <row r="42" spans="1:14" x14ac:dyDescent="0.2">
      <c r="A42" s="1" t="s">
        <v>551</v>
      </c>
      <c r="M42" s="1">
        <f>317+239</f>
        <v>556</v>
      </c>
      <c r="N42" s="1">
        <f>225+353</f>
        <v>578</v>
      </c>
    </row>
    <row r="43" spans="1:14" x14ac:dyDescent="0.2">
      <c r="A43" s="1" t="s">
        <v>560</v>
      </c>
      <c r="M43" s="1">
        <v>19204</v>
      </c>
      <c r="N43" s="1">
        <v>19603</v>
      </c>
    </row>
    <row r="44" spans="1:14" x14ac:dyDescent="0.2">
      <c r="A44" s="1" t="s">
        <v>561</v>
      </c>
      <c r="M44" s="1">
        <v>5112</v>
      </c>
      <c r="N44" s="1">
        <v>5493</v>
      </c>
    </row>
    <row r="45" spans="1:14" x14ac:dyDescent="0.2">
      <c r="A45" s="1" t="s">
        <v>562</v>
      </c>
      <c r="M45" s="1">
        <f>675+1303</f>
        <v>1978</v>
      </c>
      <c r="N45" s="1">
        <f>657+1317</f>
        <v>1974</v>
      </c>
    </row>
    <row r="46" spans="1:14" x14ac:dyDescent="0.2">
      <c r="A46" s="1" t="s">
        <v>552</v>
      </c>
      <c r="M46" s="1">
        <v>2360</v>
      </c>
      <c r="N46" s="1">
        <v>2478</v>
      </c>
    </row>
    <row r="47" spans="1:14" x14ac:dyDescent="0.2">
      <c r="A47" s="1" t="s">
        <v>553</v>
      </c>
      <c r="M47" s="1">
        <v>0</v>
      </c>
      <c r="N47" s="1">
        <v>29</v>
      </c>
    </row>
    <row r="48" spans="1:14" x14ac:dyDescent="0.2">
      <c r="A48" s="1" t="s">
        <v>557</v>
      </c>
      <c r="M48" s="1">
        <v>2718</v>
      </c>
      <c r="N48" s="1">
        <v>2583</v>
      </c>
    </row>
    <row r="49" spans="1:14" x14ac:dyDescent="0.2">
      <c r="A49" s="1" t="s">
        <v>558</v>
      </c>
      <c r="M49" s="1">
        <v>2886</v>
      </c>
      <c r="N49" s="1">
        <v>3347</v>
      </c>
    </row>
    <row r="50" spans="1:14" x14ac:dyDescent="0.2">
      <c r="A50" s="1" t="s">
        <v>543</v>
      </c>
      <c r="M50" s="1">
        <v>108</v>
      </c>
      <c r="N50" s="1">
        <v>110</v>
      </c>
    </row>
    <row r="51" spans="1:14" s="6" customFormat="1" x14ac:dyDescent="0.2">
      <c r="A51" s="6" t="s">
        <v>563</v>
      </c>
      <c r="M51" s="6">
        <f>+SUM(M41:M50)</f>
        <v>90163</v>
      </c>
      <c r="N51" s="6">
        <f>+SUM(N41:N50)</f>
        <v>102062</v>
      </c>
    </row>
    <row r="52" spans="1:14" x14ac:dyDescent="0.2">
      <c r="A52" s="1" t="s">
        <v>564</v>
      </c>
      <c r="M52" s="1">
        <v>33542</v>
      </c>
      <c r="N52" s="1">
        <v>33542</v>
      </c>
    </row>
    <row r="53" spans="1:14" x14ac:dyDescent="0.2">
      <c r="A53" s="1" t="s">
        <v>565</v>
      </c>
      <c r="M53" s="1">
        <f>+M52+M51</f>
        <v>123705</v>
      </c>
      <c r="N53" s="1">
        <f>+N52+N51</f>
        <v>135604</v>
      </c>
    </row>
    <row r="55" spans="1:14" x14ac:dyDescent="0.2">
      <c r="A55" s="1" t="s">
        <v>567</v>
      </c>
      <c r="M55" s="1">
        <f>+SUM(J15:M15)</f>
        <v>26163</v>
      </c>
      <c r="N55" s="1">
        <f>+SUM(K15:N15)</f>
        <v>25854</v>
      </c>
    </row>
    <row r="56" spans="1:14" s="3" customFormat="1" x14ac:dyDescent="0.2">
      <c r="A56" s="3" t="s">
        <v>568</v>
      </c>
      <c r="M56" s="3">
        <f>+M55/(+M29+M30+M31+M32+M33+M34+M35+M37+M38+M39)</f>
        <v>0.36935652370330629</v>
      </c>
      <c r="N56" s="3">
        <f>+N55/(+N29+N30+N31+N32+N33+N34+N35+N37+N38+N39)</f>
        <v>0.3393492328087469</v>
      </c>
    </row>
    <row r="57" spans="1:14" s="3" customFormat="1" x14ac:dyDescent="0.2"/>
    <row r="58" spans="1:14" x14ac:dyDescent="0.2">
      <c r="A58" s="1" t="s">
        <v>569</v>
      </c>
      <c r="L58" s="1">
        <f>+Model!L15</f>
        <v>6244</v>
      </c>
      <c r="M58" s="1">
        <f>+Model!M15</f>
        <v>6902</v>
      </c>
      <c r="N58" s="1">
        <f>+Model!N15</f>
        <v>5979</v>
      </c>
    </row>
    <row r="59" spans="1:14" x14ac:dyDescent="0.2">
      <c r="A59" s="1" t="s">
        <v>570</v>
      </c>
      <c r="L59" s="1">
        <v>7262</v>
      </c>
      <c r="M59" s="1">
        <f>14063-L59</f>
        <v>6801</v>
      </c>
      <c r="N59" s="1">
        <v>7451</v>
      </c>
    </row>
    <row r="60" spans="1:14" x14ac:dyDescent="0.2">
      <c r="A60" s="1" t="s">
        <v>571</v>
      </c>
      <c r="L60" s="1">
        <v>1722</v>
      </c>
      <c r="M60" s="1">
        <f>3458-L60</f>
        <v>1736</v>
      </c>
      <c r="N60" s="1">
        <v>1765</v>
      </c>
    </row>
    <row r="61" spans="1:14" x14ac:dyDescent="0.2">
      <c r="A61" s="1" t="s">
        <v>572</v>
      </c>
      <c r="L61" s="1">
        <v>181</v>
      </c>
      <c r="M61" s="1">
        <f>647-L61</f>
        <v>466</v>
      </c>
      <c r="N61" s="1">
        <v>189</v>
      </c>
    </row>
    <row r="62" spans="1:14" x14ac:dyDescent="0.2">
      <c r="A62" s="1" t="s">
        <v>573</v>
      </c>
      <c r="L62" s="1">
        <v>8</v>
      </c>
      <c r="M62" s="1">
        <f>221-L62</f>
        <v>213</v>
      </c>
      <c r="N62" s="1">
        <v>43</v>
      </c>
    </row>
    <row r="63" spans="1:14" x14ac:dyDescent="0.2">
      <c r="A63" s="1" t="s">
        <v>543</v>
      </c>
      <c r="L63" s="1">
        <v>25</v>
      </c>
      <c r="M63" s="1">
        <f>82-L63</f>
        <v>57</v>
      </c>
      <c r="N63" s="1">
        <v>-108</v>
      </c>
    </row>
    <row r="64" spans="1:14" x14ac:dyDescent="0.2">
      <c r="A64" s="1" t="s">
        <v>574</v>
      </c>
      <c r="L64" s="1">
        <v>-1857</v>
      </c>
      <c r="M64" s="1">
        <f>1134-L64</f>
        <v>2991</v>
      </c>
      <c r="N64" s="1">
        <v>-845</v>
      </c>
    </row>
    <row r="65" spans="1:29" x14ac:dyDescent="0.2">
      <c r="A65" s="1" t="s">
        <v>543</v>
      </c>
      <c r="L65" s="1">
        <v>-248</v>
      </c>
      <c r="M65" s="1">
        <f>-425+L65</f>
        <v>-673</v>
      </c>
      <c r="N65" s="1">
        <v>-380</v>
      </c>
    </row>
    <row r="66" spans="1:29" x14ac:dyDescent="0.2">
      <c r="A66" s="1" t="s">
        <v>575</v>
      </c>
      <c r="L66" s="1">
        <v>-708</v>
      </c>
      <c r="M66" s="1">
        <f>-1330-L66</f>
        <v>-622</v>
      </c>
      <c r="N66" s="1">
        <v>-747</v>
      </c>
    </row>
    <row r="67" spans="1:29" x14ac:dyDescent="0.2">
      <c r="A67" s="1" t="s">
        <v>576</v>
      </c>
      <c r="L67" s="1">
        <v>102</v>
      </c>
      <c r="M67" s="1">
        <f>193-L67</f>
        <v>91</v>
      </c>
      <c r="N67" s="1">
        <v>145</v>
      </c>
    </row>
    <row r="68" spans="1:29" x14ac:dyDescent="0.2">
      <c r="A68" s="1" t="s">
        <v>8</v>
      </c>
      <c r="L68" s="1">
        <v>-1419</v>
      </c>
      <c r="M68" s="1">
        <f>-2801-L68</f>
        <v>-1382</v>
      </c>
      <c r="N68" s="1">
        <v>-1271</v>
      </c>
    </row>
    <row r="69" spans="1:29" x14ac:dyDescent="0.2">
      <c r="A69" s="1" t="s">
        <v>42</v>
      </c>
      <c r="L69" s="1">
        <v>673</v>
      </c>
      <c r="M69" s="1">
        <f>699-L69</f>
        <v>26</v>
      </c>
      <c r="N69" s="1">
        <v>728</v>
      </c>
    </row>
    <row r="70" spans="1:29" x14ac:dyDescent="0.2">
      <c r="A70" s="1" t="s">
        <v>43</v>
      </c>
      <c r="B70" s="1">
        <v>4399</v>
      </c>
      <c r="C70" s="1">
        <f>+X70-B70</f>
        <v>10999</v>
      </c>
      <c r="D70" s="1">
        <v>5159</v>
      </c>
      <c r="E70" s="1">
        <f>+Y70-D70</f>
        <v>10691</v>
      </c>
      <c r="F70" s="1">
        <v>4185</v>
      </c>
      <c r="G70" s="1">
        <f>+Z70-F70</f>
        <v>10192</v>
      </c>
      <c r="H70" s="1">
        <v>4669</v>
      </c>
      <c r="I70" s="1">
        <f>+AA70-H70</f>
        <v>9195</v>
      </c>
      <c r="J70" s="1">
        <v>3935</v>
      </c>
      <c r="K70" s="1">
        <f>+AB70-J70</f>
        <v>7972</v>
      </c>
      <c r="L70" s="1">
        <f>+SUM(L59:L69)</f>
        <v>5741</v>
      </c>
      <c r="M70" s="1">
        <f>+AC70-L70</f>
        <v>10200</v>
      </c>
      <c r="N70" s="1">
        <f>+SUM(N59:N69)</f>
        <v>6970</v>
      </c>
      <c r="S70" s="1">
        <v>14992</v>
      </c>
      <c r="T70" s="1">
        <v>14700</v>
      </c>
      <c r="U70" s="1">
        <v>14302</v>
      </c>
      <c r="V70" s="1">
        <v>15582</v>
      </c>
      <c r="W70" s="1">
        <v>14199</v>
      </c>
      <c r="X70" s="1">
        <v>15398</v>
      </c>
      <c r="Y70" s="1">
        <v>15850</v>
      </c>
      <c r="Z70" s="1">
        <v>14377</v>
      </c>
      <c r="AA70" s="1">
        <v>13864</v>
      </c>
      <c r="AB70" s="1">
        <v>11907</v>
      </c>
      <c r="AC70" s="1">
        <v>15941</v>
      </c>
    </row>
    <row r="72" spans="1:29" x14ac:dyDescent="0.2">
      <c r="A72" s="1" t="s">
        <v>44</v>
      </c>
      <c r="B72" s="1">
        <v>-1158</v>
      </c>
      <c r="C72" s="1">
        <f>+X72-B72</f>
        <v>-2711</v>
      </c>
      <c r="D72" s="1">
        <v>-1079</v>
      </c>
      <c r="E72" s="1">
        <f>+Y72-D72</f>
        <v>-2616</v>
      </c>
      <c r="F72" s="1">
        <v>-875</v>
      </c>
      <c r="G72" s="1">
        <f>+Z72-F72</f>
        <v>-3201</v>
      </c>
      <c r="H72" s="1">
        <v>-1908</v>
      </c>
      <c r="I72" s="1">
        <f>+AA72-H72</f>
        <v>-2972</v>
      </c>
      <c r="J72" s="1">
        <v>-2372</v>
      </c>
      <c r="K72" s="1">
        <f>+AB72-J72</f>
        <v>-2723</v>
      </c>
      <c r="L72" s="1">
        <v>-2661</v>
      </c>
      <c r="M72" s="1">
        <f>+AC72-L72</f>
        <v>-3053</v>
      </c>
      <c r="N72" s="1">
        <v>-2844</v>
      </c>
      <c r="S72" s="1">
        <v>-4928</v>
      </c>
      <c r="T72" s="1">
        <v>-3914</v>
      </c>
      <c r="U72" s="1">
        <v>-3872</v>
      </c>
      <c r="V72" s="1">
        <v>-4010</v>
      </c>
      <c r="W72" s="1">
        <v>-3938</v>
      </c>
      <c r="X72" s="1">
        <v>-3869</v>
      </c>
      <c r="Y72" s="1">
        <v>-3695</v>
      </c>
      <c r="Z72" s="1">
        <v>-4076</v>
      </c>
      <c r="AA72" s="1">
        <v>-4880</v>
      </c>
      <c r="AB72" s="1">
        <v>-5095</v>
      </c>
      <c r="AC72" s="1">
        <v>-5714</v>
      </c>
    </row>
    <row r="73" spans="1:29" x14ac:dyDescent="0.2">
      <c r="A73" s="1" t="s">
        <v>577</v>
      </c>
      <c r="L73" s="1">
        <v>-305</v>
      </c>
      <c r="M73" s="1">
        <f>-489-L73</f>
        <v>-184</v>
      </c>
      <c r="N73" s="1">
        <v>-120</v>
      </c>
    </row>
    <row r="74" spans="1:29" x14ac:dyDescent="0.2">
      <c r="A74" s="1" t="s">
        <v>578</v>
      </c>
      <c r="L74" s="1">
        <v>-99</v>
      </c>
      <c r="M74" s="1">
        <f>-211-L74</f>
        <v>-112</v>
      </c>
      <c r="N74" s="1">
        <v>-710</v>
      </c>
    </row>
    <row r="75" spans="1:29" x14ac:dyDescent="0.2">
      <c r="A75" s="1" t="s">
        <v>573</v>
      </c>
      <c r="L75" s="1">
        <v>-2</v>
      </c>
      <c r="M75" s="1">
        <f>215-L75</f>
        <v>217</v>
      </c>
      <c r="N75" s="1">
        <v>0</v>
      </c>
    </row>
    <row r="76" spans="1:29" x14ac:dyDescent="0.2">
      <c r="A76" s="1" t="s">
        <v>556</v>
      </c>
      <c r="L76" s="1">
        <v>-349</v>
      </c>
      <c r="M76" s="1">
        <f>-582-L76</f>
        <v>-233</v>
      </c>
      <c r="N76" s="1">
        <v>-234</v>
      </c>
    </row>
    <row r="77" spans="1:29" x14ac:dyDescent="0.2">
      <c r="A77" s="1" t="s">
        <v>579</v>
      </c>
      <c r="L77" s="1">
        <v>334</v>
      </c>
      <c r="M77" s="1">
        <f>-80-L77</f>
        <v>-414</v>
      </c>
      <c r="N77" s="1">
        <v>-485</v>
      </c>
    </row>
    <row r="78" spans="1:29" x14ac:dyDescent="0.2">
      <c r="A78" s="1" t="s">
        <v>543</v>
      </c>
      <c r="L78" s="1">
        <v>647</v>
      </c>
      <c r="M78" s="1">
        <f>665-L78</f>
        <v>18</v>
      </c>
      <c r="N78" s="1">
        <v>-28</v>
      </c>
    </row>
    <row r="79" spans="1:29" x14ac:dyDescent="0.2">
      <c r="A79" s="1" t="s">
        <v>580</v>
      </c>
      <c r="L79" s="1">
        <f>+SUM(L72:L78)</f>
        <v>-2435</v>
      </c>
      <c r="M79" s="1">
        <f>+SUM(M72:M78)</f>
        <v>-3761</v>
      </c>
      <c r="N79" s="1">
        <f>+SUM(N72:N78)</f>
        <v>-4421</v>
      </c>
    </row>
    <row r="81" spans="1:29" x14ac:dyDescent="0.2">
      <c r="A81" s="1" t="s">
        <v>584</v>
      </c>
      <c r="L81" s="1">
        <f>-7829-189</f>
        <v>-8018</v>
      </c>
      <c r="M81" s="1">
        <f>-7829-323-L81</f>
        <v>-134</v>
      </c>
      <c r="N81" s="1">
        <f>-7816-93</f>
        <v>-7909</v>
      </c>
    </row>
    <row r="82" spans="1:29" x14ac:dyDescent="0.2">
      <c r="A82" s="1" t="s">
        <v>581</v>
      </c>
      <c r="L82" s="1">
        <v>-40</v>
      </c>
      <c r="M82" s="1">
        <f>-52-L82</f>
        <v>-12</v>
      </c>
      <c r="N82" s="1">
        <v>-7</v>
      </c>
    </row>
    <row r="83" spans="1:29" x14ac:dyDescent="0.2">
      <c r="A83" s="1" t="s">
        <v>582</v>
      </c>
      <c r="L83" s="1">
        <v>-2681</v>
      </c>
      <c r="M83" s="1">
        <f>-5234-L83</f>
        <v>-2553</v>
      </c>
      <c r="N83" s="1">
        <v>-2592</v>
      </c>
    </row>
    <row r="84" spans="1:29" x14ac:dyDescent="0.2">
      <c r="A84" s="1" t="s">
        <v>583</v>
      </c>
      <c r="L84" s="1">
        <f>5564-1414</f>
        <v>4150</v>
      </c>
      <c r="M84" s="1">
        <f>9806-3589-L84</f>
        <v>2067</v>
      </c>
      <c r="N84" s="1">
        <f>6869-2809</f>
        <v>4060</v>
      </c>
    </row>
    <row r="85" spans="1:29" x14ac:dyDescent="0.2">
      <c r="A85" s="1" t="s">
        <v>20</v>
      </c>
      <c r="L85" s="1">
        <v>1823</v>
      </c>
      <c r="M85" s="1">
        <f>-2537-L85</f>
        <v>-4360</v>
      </c>
      <c r="N85" s="1">
        <v>3740</v>
      </c>
    </row>
    <row r="86" spans="1:29" x14ac:dyDescent="0.2">
      <c r="A86" s="1" t="s">
        <v>585</v>
      </c>
      <c r="L86" s="1">
        <f>+SUM(L81:L85)</f>
        <v>-4766</v>
      </c>
      <c r="M86" s="1">
        <f>+SUM(M81:M85)</f>
        <v>-4992</v>
      </c>
      <c r="N86" s="1">
        <f>+SUM(N81:N85)</f>
        <v>-2708</v>
      </c>
    </row>
    <row r="87" spans="1:29" x14ac:dyDescent="0.2">
      <c r="A87" s="1" t="s">
        <v>586</v>
      </c>
      <c r="L87" s="1">
        <v>-372</v>
      </c>
      <c r="M87" s="1">
        <f>-682-L87</f>
        <v>-310</v>
      </c>
      <c r="N87" s="1">
        <v>208</v>
      </c>
    </row>
    <row r="88" spans="1:29" x14ac:dyDescent="0.2">
      <c r="A88" s="1" t="s">
        <v>587</v>
      </c>
      <c r="L88" s="1">
        <f>+L70+L79+L86+L87</f>
        <v>-1832</v>
      </c>
      <c r="M88" s="1">
        <f>+M70+M79+M86+M87</f>
        <v>1137</v>
      </c>
      <c r="N88" s="1">
        <f>+N70+N79+N86+N87</f>
        <v>49</v>
      </c>
    </row>
    <row r="90" spans="1:29" x14ac:dyDescent="0.2">
      <c r="A90" s="1" t="s">
        <v>45</v>
      </c>
      <c r="B90" s="1">
        <f t="shared" ref="B90:N90" si="57">+B70+B72</f>
        <v>3241</v>
      </c>
      <c r="C90" s="1">
        <f t="shared" si="57"/>
        <v>8288</v>
      </c>
      <c r="D90" s="1">
        <f t="shared" si="57"/>
        <v>4080</v>
      </c>
      <c r="E90" s="1">
        <f t="shared" si="57"/>
        <v>8075</v>
      </c>
      <c r="F90" s="1">
        <f t="shared" si="57"/>
        <v>3310</v>
      </c>
      <c r="G90" s="1">
        <f t="shared" si="57"/>
        <v>6991</v>
      </c>
      <c r="H90" s="1">
        <f t="shared" si="57"/>
        <v>2761</v>
      </c>
      <c r="I90" s="1">
        <f t="shared" si="57"/>
        <v>6223</v>
      </c>
      <c r="J90" s="1">
        <f t="shared" si="57"/>
        <v>1563</v>
      </c>
      <c r="K90" s="1">
        <f t="shared" si="57"/>
        <v>5249</v>
      </c>
      <c r="L90" s="1">
        <f t="shared" si="57"/>
        <v>3080</v>
      </c>
      <c r="M90" s="1">
        <f t="shared" si="57"/>
        <v>7147</v>
      </c>
      <c r="N90" s="1">
        <f t="shared" si="57"/>
        <v>4126</v>
      </c>
      <c r="S90" s="1">
        <f t="shared" ref="S90:AC90" si="58">+S70+S72</f>
        <v>10064</v>
      </c>
      <c r="T90" s="1">
        <f t="shared" si="58"/>
        <v>10786</v>
      </c>
      <c r="U90" s="1">
        <f t="shared" si="58"/>
        <v>10430</v>
      </c>
      <c r="V90" s="1">
        <f t="shared" si="58"/>
        <v>11572</v>
      </c>
      <c r="W90" s="1">
        <f t="shared" si="58"/>
        <v>10261</v>
      </c>
      <c r="X90" s="1">
        <f t="shared" si="58"/>
        <v>11529</v>
      </c>
      <c r="Y90" s="1">
        <f t="shared" si="58"/>
        <v>12155</v>
      </c>
      <c r="Z90" s="1">
        <f t="shared" si="58"/>
        <v>10301</v>
      </c>
      <c r="AA90" s="1">
        <f t="shared" si="58"/>
        <v>8984</v>
      </c>
      <c r="AB90" s="1">
        <f t="shared" si="58"/>
        <v>6812</v>
      </c>
      <c r="AC90" s="1">
        <f t="shared" si="58"/>
        <v>10227</v>
      </c>
    </row>
    <row r="91" spans="1:29" x14ac:dyDescent="0.2">
      <c r="A91" s="1" t="s">
        <v>46</v>
      </c>
      <c r="C91" s="1">
        <f t="shared" ref="C91" si="59">+SUM(B90:C90)</f>
        <v>11529</v>
      </c>
      <c r="D91" s="1">
        <f t="shared" ref="D91" si="60">+SUM(C90:D90)</f>
        <v>12368</v>
      </c>
      <c r="E91" s="1">
        <f t="shared" ref="E91" si="61">+SUM(D90:E90)</f>
        <v>12155</v>
      </c>
      <c r="F91" s="1">
        <f t="shared" ref="F91" si="62">+SUM(E90:F90)</f>
        <v>11385</v>
      </c>
      <c r="G91" s="1">
        <f t="shared" ref="G91" si="63">+SUM(F90:G90)</f>
        <v>10301</v>
      </c>
      <c r="H91" s="1">
        <f t="shared" ref="H91" si="64">+SUM(G90:H90)</f>
        <v>9752</v>
      </c>
      <c r="I91" s="1">
        <f t="shared" ref="I91:M91" si="65">+SUM(H90:I90)</f>
        <v>8984</v>
      </c>
      <c r="J91" s="1">
        <f t="shared" si="65"/>
        <v>7786</v>
      </c>
      <c r="K91" s="1">
        <f t="shared" si="65"/>
        <v>6812</v>
      </c>
      <c r="L91" s="1">
        <f t="shared" si="65"/>
        <v>8329</v>
      </c>
      <c r="M91" s="1">
        <f t="shared" si="65"/>
        <v>10227</v>
      </c>
      <c r="N91" s="1">
        <f>+SUM(M90:N90)</f>
        <v>11273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B6A8-CC67-488C-8F6E-7C583730AFF1}">
  <dimension ref="B2:F127"/>
  <sheetViews>
    <sheetView workbookViewId="0">
      <selection activeCell="E19" sqref="E19"/>
    </sheetView>
  </sheetViews>
  <sheetFormatPr defaultRowHeight="12.75" x14ac:dyDescent="0.2"/>
  <cols>
    <col min="1" max="1" width="3.28515625" customWidth="1"/>
    <col min="2" max="2" width="52.28515625" customWidth="1"/>
    <col min="3" max="3" width="64.140625" customWidth="1"/>
    <col min="4" max="4" width="65.28515625" customWidth="1"/>
    <col min="5" max="5" width="43.140625" customWidth="1"/>
    <col min="6" max="6" width="38.140625" bestFit="1" customWidth="1"/>
  </cols>
  <sheetData>
    <row r="2" spans="2:6" ht="23.25" x14ac:dyDescent="0.2">
      <c r="B2" s="11" t="s">
        <v>55</v>
      </c>
      <c r="C2" s="11" t="s">
        <v>138</v>
      </c>
      <c r="D2" s="11" t="s">
        <v>169</v>
      </c>
      <c r="E2" s="11" t="s">
        <v>341</v>
      </c>
      <c r="F2" s="11" t="s">
        <v>422</v>
      </c>
    </row>
    <row r="3" spans="2:6" x14ac:dyDescent="0.2">
      <c r="B3" s="13"/>
      <c r="C3" s="13"/>
      <c r="D3" s="13"/>
      <c r="E3" s="13"/>
      <c r="F3" s="13"/>
    </row>
    <row r="4" spans="2:6" x14ac:dyDescent="0.2">
      <c r="B4" s="14" t="s">
        <v>56</v>
      </c>
      <c r="C4" s="13" t="s">
        <v>139</v>
      </c>
      <c r="D4" s="14" t="s">
        <v>170</v>
      </c>
      <c r="E4" s="13" t="s">
        <v>342</v>
      </c>
      <c r="F4" s="14" t="s">
        <v>480</v>
      </c>
    </row>
    <row r="5" spans="2:6" x14ac:dyDescent="0.2">
      <c r="B5" s="13" t="s">
        <v>445</v>
      </c>
      <c r="C5" s="13" t="s">
        <v>462</v>
      </c>
      <c r="D5" s="14" t="s">
        <v>171</v>
      </c>
      <c r="E5" s="13" t="s">
        <v>397</v>
      </c>
      <c r="F5" s="14" t="s">
        <v>515</v>
      </c>
    </row>
    <row r="6" spans="2:6" x14ac:dyDescent="0.2">
      <c r="B6" s="14" t="s">
        <v>57</v>
      </c>
      <c r="C6" s="13" t="s">
        <v>463</v>
      </c>
      <c r="D6" s="13" t="s">
        <v>486</v>
      </c>
      <c r="E6" s="14" t="s">
        <v>343</v>
      </c>
      <c r="F6" s="13" t="s">
        <v>423</v>
      </c>
    </row>
    <row r="7" spans="2:6" x14ac:dyDescent="0.2">
      <c r="B7" s="13" t="s">
        <v>58</v>
      </c>
      <c r="C7" s="14" t="s">
        <v>464</v>
      </c>
      <c r="D7" s="13" t="s">
        <v>172</v>
      </c>
      <c r="E7" s="13" t="s">
        <v>344</v>
      </c>
      <c r="F7" s="14" t="s">
        <v>424</v>
      </c>
    </row>
    <row r="8" spans="2:6" x14ac:dyDescent="0.2">
      <c r="B8" s="14" t="s">
        <v>59</v>
      </c>
      <c r="C8" s="14" t="s">
        <v>465</v>
      </c>
      <c r="D8" s="14" t="s">
        <v>173</v>
      </c>
      <c r="E8" s="13" t="s">
        <v>345</v>
      </c>
      <c r="F8" s="13" t="s">
        <v>516</v>
      </c>
    </row>
    <row r="9" spans="2:6" x14ac:dyDescent="0.2">
      <c r="B9" s="13" t="s">
        <v>60</v>
      </c>
      <c r="C9" s="13" t="s">
        <v>140</v>
      </c>
      <c r="D9" s="13" t="s">
        <v>174</v>
      </c>
      <c r="E9" s="14" t="s">
        <v>489</v>
      </c>
    </row>
    <row r="10" spans="2:6" ht="23.25" x14ac:dyDescent="0.2">
      <c r="B10" s="14" t="s">
        <v>61</v>
      </c>
      <c r="C10" s="14" t="s">
        <v>466</v>
      </c>
      <c r="D10" s="13" t="s">
        <v>175</v>
      </c>
      <c r="E10" s="13" t="s">
        <v>346</v>
      </c>
      <c r="F10" s="11" t="s">
        <v>425</v>
      </c>
    </row>
    <row r="11" spans="2:6" x14ac:dyDescent="0.2">
      <c r="B11" s="13" t="s">
        <v>62</v>
      </c>
      <c r="C11" s="13" t="s">
        <v>467</v>
      </c>
      <c r="D11" s="13" t="s">
        <v>176</v>
      </c>
      <c r="E11" s="14" t="s">
        <v>490</v>
      </c>
      <c r="F11" s="14" t="s">
        <v>517</v>
      </c>
    </row>
    <row r="12" spans="2:6" x14ac:dyDescent="0.2">
      <c r="B12" s="14" t="s">
        <v>63</v>
      </c>
      <c r="C12" s="14" t="s">
        <v>468</v>
      </c>
      <c r="D12" s="13" t="s">
        <v>177</v>
      </c>
      <c r="E12" s="14" t="s">
        <v>491</v>
      </c>
      <c r="F12" s="13" t="s">
        <v>426</v>
      </c>
    </row>
    <row r="13" spans="2:6" x14ac:dyDescent="0.2">
      <c r="B13" s="13" t="s">
        <v>64</v>
      </c>
      <c r="C13" s="13" t="s">
        <v>469</v>
      </c>
      <c r="D13" s="14" t="s">
        <v>178</v>
      </c>
      <c r="E13" s="13" t="s">
        <v>347</v>
      </c>
      <c r="F13" s="13" t="s">
        <v>427</v>
      </c>
    </row>
    <row r="14" spans="2:6" x14ac:dyDescent="0.2">
      <c r="B14" s="13" t="s">
        <v>65</v>
      </c>
      <c r="C14" s="14" t="s">
        <v>470</v>
      </c>
      <c r="D14" s="13" t="s">
        <v>179</v>
      </c>
      <c r="E14" s="14" t="s">
        <v>492</v>
      </c>
      <c r="F14" s="13" t="s">
        <v>378</v>
      </c>
    </row>
    <row r="15" spans="2:6" x14ac:dyDescent="0.2">
      <c r="B15" s="13" t="s">
        <v>446</v>
      </c>
      <c r="C15" s="13" t="s">
        <v>471</v>
      </c>
      <c r="D15" s="14" t="s">
        <v>180</v>
      </c>
      <c r="E15" s="13" t="s">
        <v>348</v>
      </c>
      <c r="F15" s="13" t="s">
        <v>428</v>
      </c>
    </row>
    <row r="16" spans="2:6" x14ac:dyDescent="0.2">
      <c r="B16" s="13" t="s">
        <v>66</v>
      </c>
      <c r="C16" s="14" t="s">
        <v>141</v>
      </c>
      <c r="D16" s="13" t="s">
        <v>181</v>
      </c>
      <c r="E16" s="14" t="s">
        <v>493</v>
      </c>
      <c r="F16" s="13" t="s">
        <v>429</v>
      </c>
    </row>
    <row r="17" spans="2:6" x14ac:dyDescent="0.2">
      <c r="B17" s="13" t="s">
        <v>67</v>
      </c>
      <c r="C17" s="14" t="s">
        <v>142</v>
      </c>
      <c r="D17" s="14" t="s">
        <v>182</v>
      </c>
      <c r="E17" s="13" t="s">
        <v>349</v>
      </c>
      <c r="F17" s="13" t="s">
        <v>430</v>
      </c>
    </row>
    <row r="18" spans="2:6" x14ac:dyDescent="0.2">
      <c r="B18" s="14" t="s">
        <v>447</v>
      </c>
      <c r="C18" s="14" t="s">
        <v>472</v>
      </c>
      <c r="D18" s="13" t="s">
        <v>183</v>
      </c>
      <c r="E18" s="14" t="s">
        <v>494</v>
      </c>
    </row>
    <row r="19" spans="2:6" ht="23.25" x14ac:dyDescent="0.2">
      <c r="B19" s="14" t="s">
        <v>68</v>
      </c>
      <c r="C19" s="14" t="s">
        <v>473</v>
      </c>
      <c r="D19" s="13" t="s">
        <v>184</v>
      </c>
      <c r="E19" s="13" t="s">
        <v>350</v>
      </c>
      <c r="F19" s="11" t="s">
        <v>431</v>
      </c>
    </row>
    <row r="20" spans="2:6" x14ac:dyDescent="0.2">
      <c r="B20" s="13" t="s">
        <v>69</v>
      </c>
      <c r="C20" s="14" t="s">
        <v>143</v>
      </c>
      <c r="D20" s="13" t="s">
        <v>185</v>
      </c>
      <c r="E20" s="13" t="s">
        <v>351</v>
      </c>
      <c r="F20" s="13"/>
    </row>
    <row r="21" spans="2:6" x14ac:dyDescent="0.2">
      <c r="B21" s="14" t="s">
        <v>448</v>
      </c>
      <c r="C21" s="13" t="s">
        <v>474</v>
      </c>
      <c r="D21" s="14" t="s">
        <v>186</v>
      </c>
      <c r="E21" s="13" t="s">
        <v>352</v>
      </c>
      <c r="F21" s="13" t="s">
        <v>518</v>
      </c>
    </row>
    <row r="22" spans="2:6" x14ac:dyDescent="0.2">
      <c r="B22" s="14" t="s">
        <v>449</v>
      </c>
      <c r="C22" s="13" t="s">
        <v>144</v>
      </c>
      <c r="D22" s="13" t="s">
        <v>187</v>
      </c>
      <c r="E22" s="13" t="s">
        <v>353</v>
      </c>
      <c r="F22" s="14" t="s">
        <v>61</v>
      </c>
    </row>
    <row r="23" spans="2:6" x14ac:dyDescent="0.2">
      <c r="B23" s="14" t="s">
        <v>70</v>
      </c>
      <c r="C23" s="14" t="s">
        <v>145</v>
      </c>
      <c r="D23" s="14" t="s">
        <v>188</v>
      </c>
      <c r="E23" s="13" t="s">
        <v>354</v>
      </c>
      <c r="F23" s="14" t="s">
        <v>520</v>
      </c>
    </row>
    <row r="24" spans="2:6" x14ac:dyDescent="0.2">
      <c r="C24" s="14" t="s">
        <v>475</v>
      </c>
      <c r="D24" s="14" t="s">
        <v>189</v>
      </c>
      <c r="E24" s="13" t="s">
        <v>355</v>
      </c>
      <c r="F24" s="13" t="s">
        <v>432</v>
      </c>
    </row>
    <row r="25" spans="2:6" ht="23.25" x14ac:dyDescent="0.2">
      <c r="B25" s="11" t="s">
        <v>71</v>
      </c>
      <c r="C25" s="14" t="s">
        <v>476</v>
      </c>
      <c r="D25" s="13" t="s">
        <v>190</v>
      </c>
      <c r="E25" s="13" t="s">
        <v>495</v>
      </c>
      <c r="F25" s="13"/>
    </row>
    <row r="26" spans="2:6" ht="23.25" x14ac:dyDescent="0.2">
      <c r="B26" s="13"/>
      <c r="C26" s="13" t="s">
        <v>477</v>
      </c>
      <c r="D26" s="13" t="s">
        <v>191</v>
      </c>
      <c r="E26" s="13" t="s">
        <v>356</v>
      </c>
      <c r="F26" s="11" t="s">
        <v>433</v>
      </c>
    </row>
    <row r="27" spans="2:6" x14ac:dyDescent="0.2">
      <c r="B27" s="13" t="s">
        <v>450</v>
      </c>
      <c r="C27" s="13" t="s">
        <v>478</v>
      </c>
      <c r="D27" s="13" t="s">
        <v>192</v>
      </c>
      <c r="E27" s="13" t="s">
        <v>357</v>
      </c>
      <c r="F27" s="13"/>
    </row>
    <row r="28" spans="2:6" x14ac:dyDescent="0.2">
      <c r="B28" s="14" t="s">
        <v>451</v>
      </c>
      <c r="C28" s="13" t="s">
        <v>146</v>
      </c>
      <c r="D28" s="14" t="s">
        <v>193</v>
      </c>
      <c r="E28" s="13" t="s">
        <v>358</v>
      </c>
      <c r="F28" s="13" t="s">
        <v>434</v>
      </c>
    </row>
    <row r="29" spans="2:6" x14ac:dyDescent="0.2">
      <c r="B29" s="14" t="s">
        <v>452</v>
      </c>
      <c r="C29" s="14" t="s">
        <v>147</v>
      </c>
      <c r="D29" s="14" t="s">
        <v>194</v>
      </c>
      <c r="E29" s="13" t="s">
        <v>359</v>
      </c>
      <c r="F29" s="13" t="s">
        <v>435</v>
      </c>
    </row>
    <row r="30" spans="2:6" x14ac:dyDescent="0.2">
      <c r="B30" s="13" t="s">
        <v>72</v>
      </c>
      <c r="D30" s="13" t="s">
        <v>195</v>
      </c>
      <c r="E30" s="13" t="s">
        <v>360</v>
      </c>
      <c r="F30" s="13" t="s">
        <v>153</v>
      </c>
    </row>
    <row r="31" spans="2:6" ht="23.25" x14ac:dyDescent="0.2">
      <c r="B31" s="14" t="s">
        <v>453</v>
      </c>
      <c r="C31" s="11" t="s">
        <v>148</v>
      </c>
      <c r="D31" s="14" t="s">
        <v>59</v>
      </c>
      <c r="E31" s="13" t="s">
        <v>361</v>
      </c>
      <c r="F31" s="13" t="s">
        <v>436</v>
      </c>
    </row>
    <row r="32" spans="2:6" x14ac:dyDescent="0.2">
      <c r="B32" s="13" t="s">
        <v>73</v>
      </c>
      <c r="C32" s="13"/>
      <c r="D32" s="13" t="s">
        <v>196</v>
      </c>
      <c r="E32" s="13" t="s">
        <v>362</v>
      </c>
      <c r="F32" s="14" t="s">
        <v>437</v>
      </c>
    </row>
    <row r="33" spans="2:6" x14ac:dyDescent="0.2">
      <c r="B33" s="14" t="s">
        <v>74</v>
      </c>
      <c r="C33" s="14" t="s">
        <v>479</v>
      </c>
      <c r="D33" s="13" t="s">
        <v>197</v>
      </c>
      <c r="E33" s="13" t="s">
        <v>363</v>
      </c>
      <c r="F33" s="13" t="s">
        <v>438</v>
      </c>
    </row>
    <row r="34" spans="2:6" x14ac:dyDescent="0.2">
      <c r="B34" s="13" t="s">
        <v>75</v>
      </c>
      <c r="C34" s="13" t="s">
        <v>149</v>
      </c>
      <c r="D34" s="13" t="s">
        <v>198</v>
      </c>
      <c r="E34" s="14" t="s">
        <v>364</v>
      </c>
      <c r="F34" s="14" t="s">
        <v>519</v>
      </c>
    </row>
    <row r="35" spans="2:6" x14ac:dyDescent="0.2">
      <c r="B35" s="13" t="s">
        <v>76</v>
      </c>
      <c r="C35" s="13" t="s">
        <v>150</v>
      </c>
      <c r="D35" s="13" t="s">
        <v>199</v>
      </c>
      <c r="E35" s="13" t="s">
        <v>365</v>
      </c>
      <c r="F35" s="13" t="s">
        <v>439</v>
      </c>
    </row>
    <row r="36" spans="2:6" x14ac:dyDescent="0.2">
      <c r="B36" s="13" t="s">
        <v>77</v>
      </c>
      <c r="C36" s="13" t="s">
        <v>151</v>
      </c>
      <c r="D36" s="14" t="s">
        <v>200</v>
      </c>
      <c r="E36" s="13" t="s">
        <v>366</v>
      </c>
      <c r="F36" s="13" t="s">
        <v>440</v>
      </c>
    </row>
    <row r="37" spans="2:6" x14ac:dyDescent="0.2">
      <c r="B37" s="13" t="s">
        <v>78</v>
      </c>
      <c r="C37" s="13" t="s">
        <v>152</v>
      </c>
      <c r="D37" s="14" t="s">
        <v>201</v>
      </c>
      <c r="E37" s="13" t="s">
        <v>367</v>
      </c>
      <c r="F37" s="13" t="s">
        <v>441</v>
      </c>
    </row>
    <row r="38" spans="2:6" x14ac:dyDescent="0.2">
      <c r="B38" s="14" t="s">
        <v>79</v>
      </c>
      <c r="C38" s="13" t="s">
        <v>153</v>
      </c>
      <c r="D38" s="13" t="s">
        <v>202</v>
      </c>
      <c r="F38" s="14" t="s">
        <v>442</v>
      </c>
    </row>
    <row r="39" spans="2:6" ht="23.25" x14ac:dyDescent="0.2">
      <c r="B39" s="13" t="s">
        <v>80</v>
      </c>
      <c r="C39" s="13" t="s">
        <v>154</v>
      </c>
      <c r="D39" s="13" t="s">
        <v>203</v>
      </c>
      <c r="E39" s="11" t="s">
        <v>368</v>
      </c>
      <c r="F39" s="13" t="s">
        <v>443</v>
      </c>
    </row>
    <row r="40" spans="2:6" x14ac:dyDescent="0.2">
      <c r="B40" s="13" t="s">
        <v>454</v>
      </c>
      <c r="C40" s="13" t="s">
        <v>155</v>
      </c>
      <c r="D40" s="13" t="s">
        <v>204</v>
      </c>
      <c r="E40" s="13"/>
      <c r="F40" s="13" t="s">
        <v>444</v>
      </c>
    </row>
    <row r="41" spans="2:6" x14ac:dyDescent="0.2">
      <c r="B41" s="13" t="s">
        <v>455</v>
      </c>
      <c r="C41" s="13" t="s">
        <v>156</v>
      </c>
      <c r="D41" s="13" t="s">
        <v>205</v>
      </c>
      <c r="E41" s="13" t="s">
        <v>369</v>
      </c>
    </row>
    <row r="42" spans="2:6" x14ac:dyDescent="0.2">
      <c r="B42" s="14" t="s">
        <v>456</v>
      </c>
      <c r="C42" s="13" t="s">
        <v>157</v>
      </c>
      <c r="D42" s="13" t="s">
        <v>206</v>
      </c>
      <c r="E42" s="13" t="s">
        <v>370</v>
      </c>
    </row>
    <row r="43" spans="2:6" x14ac:dyDescent="0.2">
      <c r="B43" s="13" t="s">
        <v>81</v>
      </c>
      <c r="C43" s="13" t="s">
        <v>158</v>
      </c>
      <c r="D43" s="13" t="s">
        <v>207</v>
      </c>
      <c r="E43" s="13" t="s">
        <v>371</v>
      </c>
    </row>
    <row r="44" spans="2:6" x14ac:dyDescent="0.2">
      <c r="B44" s="14" t="s">
        <v>82</v>
      </c>
      <c r="C44" s="13" t="s">
        <v>159</v>
      </c>
      <c r="D44" s="14" t="s">
        <v>208</v>
      </c>
      <c r="E44" s="14" t="s">
        <v>496</v>
      </c>
    </row>
    <row r="45" spans="2:6" x14ac:dyDescent="0.2">
      <c r="B45" s="13" t="s">
        <v>83</v>
      </c>
      <c r="C45" s="13" t="s">
        <v>160</v>
      </c>
      <c r="D45" s="14" t="s">
        <v>487</v>
      </c>
      <c r="E45" s="13" t="s">
        <v>372</v>
      </c>
    </row>
    <row r="46" spans="2:6" x14ac:dyDescent="0.2">
      <c r="B46" s="13" t="s">
        <v>457</v>
      </c>
      <c r="C46" s="13" t="s">
        <v>161</v>
      </c>
      <c r="D46" s="13" t="s">
        <v>209</v>
      </c>
      <c r="E46" s="14" t="s">
        <v>139</v>
      </c>
    </row>
    <row r="47" spans="2:6" x14ac:dyDescent="0.2">
      <c r="B47" s="13" t="s">
        <v>84</v>
      </c>
      <c r="C47" s="13" t="s">
        <v>162</v>
      </c>
      <c r="D47" s="13" t="s">
        <v>210</v>
      </c>
      <c r="E47" s="13" t="s">
        <v>373</v>
      </c>
    </row>
    <row r="48" spans="2:6" x14ac:dyDescent="0.2">
      <c r="B48" s="13" t="s">
        <v>85</v>
      </c>
      <c r="C48" s="13" t="s">
        <v>163</v>
      </c>
      <c r="D48" s="13" t="s">
        <v>211</v>
      </c>
      <c r="E48" s="13" t="s">
        <v>374</v>
      </c>
    </row>
    <row r="49" spans="2:5" x14ac:dyDescent="0.2">
      <c r="B49" s="13" t="s">
        <v>458</v>
      </c>
      <c r="C49" s="13" t="s">
        <v>164</v>
      </c>
      <c r="D49" s="13" t="s">
        <v>212</v>
      </c>
      <c r="E49" s="14" t="s">
        <v>497</v>
      </c>
    </row>
    <row r="50" spans="2:5" x14ac:dyDescent="0.2">
      <c r="B50" s="14" t="s">
        <v>459</v>
      </c>
      <c r="C50" s="13" t="s">
        <v>165</v>
      </c>
      <c r="D50" s="13" t="s">
        <v>213</v>
      </c>
      <c r="E50" s="13" t="s">
        <v>498</v>
      </c>
    </row>
    <row r="51" spans="2:5" x14ac:dyDescent="0.2">
      <c r="B51" s="13" t="s">
        <v>86</v>
      </c>
      <c r="C51" s="13" t="s">
        <v>166</v>
      </c>
      <c r="D51" s="13" t="s">
        <v>214</v>
      </c>
      <c r="E51" s="13" t="s">
        <v>375</v>
      </c>
    </row>
    <row r="52" spans="2:5" x14ac:dyDescent="0.2">
      <c r="C52" s="13" t="s">
        <v>167</v>
      </c>
      <c r="D52" s="13" t="s">
        <v>215</v>
      </c>
      <c r="E52" s="13" t="s">
        <v>376</v>
      </c>
    </row>
    <row r="53" spans="2:5" ht="23.25" x14ac:dyDescent="0.2">
      <c r="B53" s="11" t="s">
        <v>87</v>
      </c>
      <c r="C53" s="13" t="s">
        <v>168</v>
      </c>
      <c r="D53" s="13" t="s">
        <v>216</v>
      </c>
      <c r="E53" s="13" t="s">
        <v>377</v>
      </c>
    </row>
    <row r="54" spans="2:5" x14ac:dyDescent="0.2">
      <c r="B54" s="13"/>
      <c r="D54" s="13" t="s">
        <v>217</v>
      </c>
      <c r="E54" s="14" t="s">
        <v>378</v>
      </c>
    </row>
    <row r="55" spans="2:5" ht="23.25" x14ac:dyDescent="0.2">
      <c r="B55" s="14" t="s">
        <v>88</v>
      </c>
      <c r="C55" s="11" t="s">
        <v>289</v>
      </c>
      <c r="D55" s="13" t="s">
        <v>218</v>
      </c>
      <c r="E55" s="13" t="s">
        <v>379</v>
      </c>
    </row>
    <row r="56" spans="2:5" x14ac:dyDescent="0.2">
      <c r="B56" s="13" t="s">
        <v>89</v>
      </c>
      <c r="C56" s="13"/>
      <c r="D56" s="13" t="s">
        <v>219</v>
      </c>
      <c r="E56" s="13" t="s">
        <v>499</v>
      </c>
    </row>
    <row r="57" spans="2:5" x14ac:dyDescent="0.2">
      <c r="B57" s="13" t="s">
        <v>90</v>
      </c>
      <c r="C57" s="14" t="s">
        <v>290</v>
      </c>
      <c r="D57" s="13" t="s">
        <v>220</v>
      </c>
      <c r="E57" s="13" t="s">
        <v>380</v>
      </c>
    </row>
    <row r="58" spans="2:5" x14ac:dyDescent="0.2">
      <c r="B58" s="13" t="s">
        <v>91</v>
      </c>
      <c r="C58" s="14" t="s">
        <v>291</v>
      </c>
      <c r="D58" s="14" t="s">
        <v>221</v>
      </c>
      <c r="E58" s="13" t="s">
        <v>381</v>
      </c>
    </row>
    <row r="59" spans="2:5" x14ac:dyDescent="0.2">
      <c r="B59" s="13" t="s">
        <v>92</v>
      </c>
      <c r="C59" s="14" t="s">
        <v>292</v>
      </c>
      <c r="D59" s="13" t="s">
        <v>222</v>
      </c>
      <c r="E59" s="13" t="s">
        <v>382</v>
      </c>
    </row>
    <row r="60" spans="2:5" x14ac:dyDescent="0.2">
      <c r="B60" s="13" t="s">
        <v>93</v>
      </c>
      <c r="C60" s="13" t="s">
        <v>293</v>
      </c>
      <c r="D60" s="13" t="s">
        <v>223</v>
      </c>
      <c r="E60" s="13" t="s">
        <v>383</v>
      </c>
    </row>
    <row r="61" spans="2:5" x14ac:dyDescent="0.2">
      <c r="B61" s="13" t="s">
        <v>94</v>
      </c>
      <c r="D61" s="13" t="s">
        <v>224</v>
      </c>
      <c r="E61" s="13" t="s">
        <v>384</v>
      </c>
    </row>
    <row r="62" spans="2:5" ht="23.25" x14ac:dyDescent="0.2">
      <c r="B62" s="13" t="s">
        <v>95</v>
      </c>
      <c r="C62" s="11" t="s">
        <v>294</v>
      </c>
      <c r="D62" s="14" t="s">
        <v>225</v>
      </c>
      <c r="E62" s="13" t="s">
        <v>385</v>
      </c>
    </row>
    <row r="63" spans="2:5" x14ac:dyDescent="0.2">
      <c r="B63" s="13" t="s">
        <v>96</v>
      </c>
      <c r="C63" s="13"/>
      <c r="D63" s="14" t="s">
        <v>226</v>
      </c>
      <c r="E63" s="13" t="s">
        <v>386</v>
      </c>
    </row>
    <row r="64" spans="2:5" x14ac:dyDescent="0.2">
      <c r="B64" s="13" t="s">
        <v>97</v>
      </c>
      <c r="C64" s="13" t="s">
        <v>480</v>
      </c>
      <c r="D64" s="13" t="s">
        <v>158</v>
      </c>
      <c r="E64" s="13" t="s">
        <v>387</v>
      </c>
    </row>
    <row r="65" spans="2:5" x14ac:dyDescent="0.2">
      <c r="B65" s="13" t="s">
        <v>98</v>
      </c>
      <c r="C65" s="14" t="s">
        <v>295</v>
      </c>
      <c r="D65" s="13" t="s">
        <v>227</v>
      </c>
      <c r="E65" s="14" t="s">
        <v>161</v>
      </c>
    </row>
    <row r="66" spans="2:5" x14ac:dyDescent="0.2">
      <c r="B66" s="14" t="s">
        <v>99</v>
      </c>
      <c r="C66" s="13" t="s">
        <v>481</v>
      </c>
      <c r="D66" s="13" t="s">
        <v>228</v>
      </c>
      <c r="E66" s="14" t="s">
        <v>388</v>
      </c>
    </row>
    <row r="67" spans="2:5" x14ac:dyDescent="0.2">
      <c r="B67" s="13" t="s">
        <v>460</v>
      </c>
      <c r="C67" s="14" t="s">
        <v>296</v>
      </c>
      <c r="D67" s="13" t="s">
        <v>229</v>
      </c>
      <c r="E67" s="13" t="s">
        <v>389</v>
      </c>
    </row>
    <row r="68" spans="2:5" x14ac:dyDescent="0.2">
      <c r="B68" s="13" t="s">
        <v>100</v>
      </c>
      <c r="C68" s="13" t="s">
        <v>482</v>
      </c>
      <c r="D68" s="13" t="s">
        <v>230</v>
      </c>
      <c r="E68" s="13" t="s">
        <v>390</v>
      </c>
    </row>
    <row r="69" spans="2:5" x14ac:dyDescent="0.2">
      <c r="B69" s="13" t="s">
        <v>101</v>
      </c>
      <c r="C69" s="13" t="s">
        <v>297</v>
      </c>
      <c r="D69" s="13" t="s">
        <v>231</v>
      </c>
      <c r="E69" s="14" t="s">
        <v>391</v>
      </c>
    </row>
    <row r="70" spans="2:5" x14ac:dyDescent="0.2">
      <c r="B70" s="13" t="s">
        <v>102</v>
      </c>
      <c r="C70" s="13" t="s">
        <v>298</v>
      </c>
      <c r="D70" s="13" t="s">
        <v>232</v>
      </c>
      <c r="E70" s="13" t="s">
        <v>392</v>
      </c>
    </row>
    <row r="71" spans="2:5" x14ac:dyDescent="0.2">
      <c r="B71" s="13" t="s">
        <v>103</v>
      </c>
      <c r="C71" s="13" t="s">
        <v>483</v>
      </c>
      <c r="D71" s="13" t="s">
        <v>233</v>
      </c>
      <c r="E71" s="13" t="s">
        <v>393</v>
      </c>
    </row>
    <row r="72" spans="2:5" x14ac:dyDescent="0.2">
      <c r="B72" s="13" t="s">
        <v>104</v>
      </c>
      <c r="C72" s="13" t="s">
        <v>299</v>
      </c>
      <c r="D72" s="13" t="s">
        <v>234</v>
      </c>
      <c r="E72" s="13" t="s">
        <v>394</v>
      </c>
    </row>
    <row r="73" spans="2:5" x14ac:dyDescent="0.2">
      <c r="B73" s="13" t="s">
        <v>105</v>
      </c>
      <c r="C73" s="14" t="s">
        <v>300</v>
      </c>
      <c r="D73" s="14" t="s">
        <v>235</v>
      </c>
      <c r="E73" s="13" t="s">
        <v>395</v>
      </c>
    </row>
    <row r="74" spans="2:5" x14ac:dyDescent="0.2">
      <c r="B74" s="13" t="s">
        <v>106</v>
      </c>
      <c r="C74" s="13" t="s">
        <v>301</v>
      </c>
      <c r="D74" s="14" t="s">
        <v>236</v>
      </c>
    </row>
    <row r="75" spans="2:5" ht="23.25" x14ac:dyDescent="0.2">
      <c r="B75" s="14" t="s">
        <v>107</v>
      </c>
      <c r="C75" s="13" t="s">
        <v>484</v>
      </c>
      <c r="D75" s="13" t="s">
        <v>237</v>
      </c>
      <c r="E75" s="11" t="s">
        <v>396</v>
      </c>
    </row>
    <row r="76" spans="2:5" x14ac:dyDescent="0.2">
      <c r="B76" s="13" t="s">
        <v>108</v>
      </c>
      <c r="C76" s="13" t="s">
        <v>302</v>
      </c>
      <c r="D76" s="13" t="s">
        <v>238</v>
      </c>
      <c r="E76" s="13"/>
    </row>
    <row r="77" spans="2:5" x14ac:dyDescent="0.2">
      <c r="B77" s="13" t="s">
        <v>109</v>
      </c>
      <c r="C77" s="14" t="s">
        <v>303</v>
      </c>
      <c r="D77" s="13" t="s">
        <v>239</v>
      </c>
      <c r="E77" s="13" t="s">
        <v>397</v>
      </c>
    </row>
    <row r="78" spans="2:5" x14ac:dyDescent="0.2">
      <c r="B78" s="13" t="s">
        <v>110</v>
      </c>
      <c r="C78" s="14" t="s">
        <v>304</v>
      </c>
      <c r="D78" s="13" t="s">
        <v>240</v>
      </c>
      <c r="E78" s="13" t="s">
        <v>398</v>
      </c>
    </row>
    <row r="79" spans="2:5" x14ac:dyDescent="0.2">
      <c r="B79" s="13" t="s">
        <v>111</v>
      </c>
      <c r="C79" s="14" t="s">
        <v>305</v>
      </c>
      <c r="D79" s="13" t="s">
        <v>241</v>
      </c>
      <c r="E79" s="13" t="s">
        <v>399</v>
      </c>
    </row>
    <row r="80" spans="2:5" x14ac:dyDescent="0.2">
      <c r="B80" s="13" t="s">
        <v>112</v>
      </c>
      <c r="D80" s="13" t="s">
        <v>242</v>
      </c>
      <c r="E80" s="13" t="s">
        <v>400</v>
      </c>
    </row>
    <row r="81" spans="2:5" ht="17.25" x14ac:dyDescent="0.2">
      <c r="B81" s="13" t="s">
        <v>113</v>
      </c>
      <c r="C81" s="12" t="s">
        <v>306</v>
      </c>
      <c r="D81" s="13" t="s">
        <v>243</v>
      </c>
      <c r="E81" s="13" t="s">
        <v>401</v>
      </c>
    </row>
    <row r="82" spans="2:5" x14ac:dyDescent="0.2">
      <c r="B82" s="13" t="s">
        <v>114</v>
      </c>
      <c r="C82" s="13"/>
      <c r="D82" s="14" t="s">
        <v>244</v>
      </c>
    </row>
    <row r="83" spans="2:5" ht="23.25" x14ac:dyDescent="0.2">
      <c r="B83" s="13" t="s">
        <v>115</v>
      </c>
      <c r="C83" s="13" t="s">
        <v>307</v>
      </c>
      <c r="D83" s="14" t="s">
        <v>245</v>
      </c>
      <c r="E83" s="11" t="s">
        <v>402</v>
      </c>
    </row>
    <row r="84" spans="2:5" x14ac:dyDescent="0.2">
      <c r="B84" s="13" t="s">
        <v>116</v>
      </c>
      <c r="C84" s="13" t="s">
        <v>308</v>
      </c>
      <c r="D84" s="13" t="s">
        <v>246</v>
      </c>
      <c r="E84" s="13"/>
    </row>
    <row r="85" spans="2:5" x14ac:dyDescent="0.2">
      <c r="B85" s="13" t="s">
        <v>117</v>
      </c>
      <c r="C85" s="13" t="s">
        <v>309</v>
      </c>
      <c r="D85" s="14" t="s">
        <v>247</v>
      </c>
      <c r="E85" s="13" t="s">
        <v>500</v>
      </c>
    </row>
    <row r="86" spans="2:5" x14ac:dyDescent="0.2">
      <c r="B86" s="13" t="s">
        <v>118</v>
      </c>
      <c r="C86" s="13" t="s">
        <v>59</v>
      </c>
      <c r="D86" s="13" t="s">
        <v>248</v>
      </c>
      <c r="E86" s="13" t="s">
        <v>501</v>
      </c>
    </row>
    <row r="87" spans="2:5" x14ac:dyDescent="0.2">
      <c r="B87" s="13" t="s">
        <v>119</v>
      </c>
      <c r="C87" s="13" t="s">
        <v>310</v>
      </c>
      <c r="D87" s="13" t="s">
        <v>249</v>
      </c>
      <c r="E87" s="13" t="s">
        <v>502</v>
      </c>
    </row>
    <row r="88" spans="2:5" x14ac:dyDescent="0.2">
      <c r="B88" s="13" t="s">
        <v>120</v>
      </c>
      <c r="C88" s="13" t="s">
        <v>311</v>
      </c>
      <c r="D88" s="14" t="s">
        <v>250</v>
      </c>
      <c r="E88" s="13" t="s">
        <v>503</v>
      </c>
    </row>
    <row r="89" spans="2:5" ht="14.25" x14ac:dyDescent="0.2">
      <c r="B89" s="13" t="s">
        <v>121</v>
      </c>
      <c r="C89" s="13" t="s">
        <v>521</v>
      </c>
      <c r="D89" s="13" t="s">
        <v>251</v>
      </c>
      <c r="E89" s="13" t="s">
        <v>504</v>
      </c>
    </row>
    <row r="90" spans="2:5" x14ac:dyDescent="0.2">
      <c r="B90" s="13" t="s">
        <v>122</v>
      </c>
      <c r="C90" s="13" t="s">
        <v>485</v>
      </c>
      <c r="D90" s="13" t="s">
        <v>252</v>
      </c>
      <c r="E90" s="14" t="s">
        <v>505</v>
      </c>
    </row>
    <row r="91" spans="2:5" x14ac:dyDescent="0.2">
      <c r="B91" s="13" t="s">
        <v>461</v>
      </c>
      <c r="C91" s="14" t="s">
        <v>312</v>
      </c>
      <c r="D91" s="13" t="s">
        <v>253</v>
      </c>
      <c r="E91" s="14" t="s">
        <v>506</v>
      </c>
    </row>
    <row r="92" spans="2:5" x14ac:dyDescent="0.2">
      <c r="B92" s="13" t="s">
        <v>123</v>
      </c>
      <c r="C92" s="13" t="s">
        <v>313</v>
      </c>
      <c r="D92" s="13" t="s">
        <v>254</v>
      </c>
      <c r="E92" s="14" t="s">
        <v>507</v>
      </c>
    </row>
    <row r="93" spans="2:5" x14ac:dyDescent="0.2">
      <c r="B93" s="13" t="s">
        <v>124</v>
      </c>
      <c r="C93" s="13" t="s">
        <v>314</v>
      </c>
      <c r="D93" s="13" t="s">
        <v>255</v>
      </c>
      <c r="E93" s="14" t="s">
        <v>508</v>
      </c>
    </row>
    <row r="94" spans="2:5" x14ac:dyDescent="0.2">
      <c r="B94" s="14" t="s">
        <v>125</v>
      </c>
      <c r="C94" s="13" t="s">
        <v>315</v>
      </c>
      <c r="D94" s="13" t="s">
        <v>256</v>
      </c>
      <c r="E94" s="13" t="s">
        <v>509</v>
      </c>
    </row>
    <row r="95" spans="2:5" x14ac:dyDescent="0.2">
      <c r="B95" s="13" t="s">
        <v>126</v>
      </c>
      <c r="C95" s="13" t="s">
        <v>316</v>
      </c>
      <c r="D95" s="13" t="s">
        <v>257</v>
      </c>
      <c r="E95" s="14" t="s">
        <v>510</v>
      </c>
    </row>
    <row r="96" spans="2:5" x14ac:dyDescent="0.2">
      <c r="B96" s="14" t="s">
        <v>127</v>
      </c>
      <c r="C96" s="13" t="s">
        <v>317</v>
      </c>
      <c r="D96" s="13" t="s">
        <v>258</v>
      </c>
      <c r="E96" s="14" t="s">
        <v>511</v>
      </c>
    </row>
    <row r="97" spans="2:5" x14ac:dyDescent="0.2">
      <c r="B97" s="13" t="s">
        <v>128</v>
      </c>
      <c r="C97" s="14" t="s">
        <v>318</v>
      </c>
      <c r="D97" s="13" t="s">
        <v>259</v>
      </c>
      <c r="E97" s="13" t="s">
        <v>512</v>
      </c>
    </row>
    <row r="98" spans="2:5" x14ac:dyDescent="0.2">
      <c r="B98" s="13" t="s">
        <v>129</v>
      </c>
      <c r="C98" s="13" t="s">
        <v>319</v>
      </c>
      <c r="D98" s="13" t="s">
        <v>260</v>
      </c>
      <c r="E98" s="14" t="s">
        <v>513</v>
      </c>
    </row>
    <row r="99" spans="2:5" x14ac:dyDescent="0.2">
      <c r="B99" s="13" t="s">
        <v>130</v>
      </c>
      <c r="C99" s="13" t="s">
        <v>320</v>
      </c>
      <c r="D99" s="13" t="s">
        <v>261</v>
      </c>
    </row>
    <row r="100" spans="2:5" ht="23.25" x14ac:dyDescent="0.2">
      <c r="B100" s="14" t="s">
        <v>131</v>
      </c>
      <c r="C100" s="14" t="s">
        <v>321</v>
      </c>
      <c r="D100" s="13" t="s">
        <v>262</v>
      </c>
      <c r="E100" s="11" t="s">
        <v>403</v>
      </c>
    </row>
    <row r="101" spans="2:5" x14ac:dyDescent="0.2">
      <c r="B101" s="13" t="s">
        <v>132</v>
      </c>
      <c r="C101" s="13" t="s">
        <v>322</v>
      </c>
      <c r="D101" s="13" t="s">
        <v>263</v>
      </c>
      <c r="E101" s="13"/>
    </row>
    <row r="102" spans="2:5" x14ac:dyDescent="0.2">
      <c r="B102" s="13" t="s">
        <v>133</v>
      </c>
      <c r="C102" s="13" t="s">
        <v>323</v>
      </c>
      <c r="D102" s="13" t="s">
        <v>264</v>
      </c>
      <c r="E102" s="13" t="s">
        <v>404</v>
      </c>
    </row>
    <row r="103" spans="2:5" x14ac:dyDescent="0.2">
      <c r="B103" s="13" t="s">
        <v>134</v>
      </c>
      <c r="C103" s="13" t="s">
        <v>324</v>
      </c>
      <c r="D103" s="13" t="s">
        <v>265</v>
      </c>
      <c r="E103" s="13" t="s">
        <v>405</v>
      </c>
    </row>
    <row r="104" spans="2:5" x14ac:dyDescent="0.2">
      <c r="B104" s="14" t="s">
        <v>135</v>
      </c>
      <c r="C104" s="14" t="s">
        <v>325</v>
      </c>
      <c r="D104" s="13" t="s">
        <v>266</v>
      </c>
      <c r="E104" s="13" t="s">
        <v>406</v>
      </c>
    </row>
    <row r="105" spans="2:5" x14ac:dyDescent="0.2">
      <c r="B105" s="13" t="s">
        <v>136</v>
      </c>
      <c r="C105" s="13" t="s">
        <v>326</v>
      </c>
      <c r="D105" s="13" t="s">
        <v>267</v>
      </c>
      <c r="E105" s="13" t="s">
        <v>407</v>
      </c>
    </row>
    <row r="106" spans="2:5" x14ac:dyDescent="0.2">
      <c r="B106" s="13" t="s">
        <v>137</v>
      </c>
      <c r="C106" s="13" t="s">
        <v>327</v>
      </c>
      <c r="D106" s="13" t="s">
        <v>268</v>
      </c>
      <c r="E106" s="13" t="s">
        <v>408</v>
      </c>
    </row>
    <row r="107" spans="2:5" x14ac:dyDescent="0.2">
      <c r="C107" s="13" t="s">
        <v>328</v>
      </c>
      <c r="D107" s="13" t="s">
        <v>269</v>
      </c>
      <c r="E107" s="13" t="s">
        <v>409</v>
      </c>
    </row>
    <row r="108" spans="2:5" x14ac:dyDescent="0.2">
      <c r="C108" s="13" t="s">
        <v>329</v>
      </c>
      <c r="D108" s="13" t="s">
        <v>270</v>
      </c>
      <c r="E108" s="14" t="s">
        <v>514</v>
      </c>
    </row>
    <row r="109" spans="2:5" x14ac:dyDescent="0.2">
      <c r="C109" s="13" t="s">
        <v>330</v>
      </c>
      <c r="D109" s="13" t="s">
        <v>271</v>
      </c>
      <c r="E109" s="13" t="s">
        <v>410</v>
      </c>
    </row>
    <row r="110" spans="2:5" x14ac:dyDescent="0.2">
      <c r="C110" s="13" t="s">
        <v>331</v>
      </c>
      <c r="D110" s="14" t="s">
        <v>272</v>
      </c>
      <c r="E110" s="13" t="s">
        <v>411</v>
      </c>
    </row>
    <row r="111" spans="2:5" x14ac:dyDescent="0.2">
      <c r="C111" s="13" t="s">
        <v>332</v>
      </c>
      <c r="D111" s="14" t="s">
        <v>273</v>
      </c>
      <c r="E111" s="13" t="s">
        <v>412</v>
      </c>
    </row>
    <row r="112" spans="2:5" x14ac:dyDescent="0.2">
      <c r="C112" s="13" t="s">
        <v>333</v>
      </c>
      <c r="D112" s="13" t="s">
        <v>274</v>
      </c>
      <c r="E112" s="13" t="s">
        <v>413</v>
      </c>
    </row>
    <row r="113" spans="3:5" x14ac:dyDescent="0.2">
      <c r="C113" s="13" t="s">
        <v>334</v>
      </c>
      <c r="D113" s="13" t="s">
        <v>275</v>
      </c>
      <c r="E113" s="13" t="s">
        <v>414</v>
      </c>
    </row>
    <row r="114" spans="3:5" x14ac:dyDescent="0.2">
      <c r="C114" s="13" t="s">
        <v>335</v>
      </c>
      <c r="D114" s="13" t="s">
        <v>276</v>
      </c>
      <c r="E114" s="13" t="s">
        <v>415</v>
      </c>
    </row>
    <row r="115" spans="3:5" x14ac:dyDescent="0.2">
      <c r="C115" s="13" t="s">
        <v>336</v>
      </c>
      <c r="D115" s="14" t="s">
        <v>277</v>
      </c>
      <c r="E115" s="13" t="s">
        <v>416</v>
      </c>
    </row>
    <row r="116" spans="3:5" x14ac:dyDescent="0.2">
      <c r="C116" s="13" t="s">
        <v>337</v>
      </c>
      <c r="D116" s="13" t="s">
        <v>278</v>
      </c>
      <c r="E116" s="13" t="s">
        <v>417</v>
      </c>
    </row>
    <row r="117" spans="3:5" x14ac:dyDescent="0.2">
      <c r="C117" s="13" t="s">
        <v>338</v>
      </c>
      <c r="D117" s="13" t="s">
        <v>279</v>
      </c>
      <c r="E117" s="13" t="s">
        <v>418</v>
      </c>
    </row>
    <row r="118" spans="3:5" x14ac:dyDescent="0.2">
      <c r="C118" s="13" t="s">
        <v>339</v>
      </c>
      <c r="D118" s="13" t="s">
        <v>280</v>
      </c>
      <c r="E118" s="13" t="s">
        <v>419</v>
      </c>
    </row>
    <row r="119" spans="3:5" x14ac:dyDescent="0.2">
      <c r="C119" s="13" t="s">
        <v>340</v>
      </c>
      <c r="D119" s="14" t="s">
        <v>281</v>
      </c>
      <c r="E119" s="13" t="s">
        <v>420</v>
      </c>
    </row>
    <row r="120" spans="3:5" x14ac:dyDescent="0.2">
      <c r="D120" s="14" t="s">
        <v>488</v>
      </c>
      <c r="E120" s="14" t="s">
        <v>421</v>
      </c>
    </row>
    <row r="121" spans="3:5" x14ac:dyDescent="0.2">
      <c r="D121" s="13" t="s">
        <v>282</v>
      </c>
    </row>
    <row r="122" spans="3:5" x14ac:dyDescent="0.2">
      <c r="D122" s="13" t="s">
        <v>283</v>
      </c>
    </row>
    <row r="123" spans="3:5" x14ac:dyDescent="0.2">
      <c r="D123" s="13" t="s">
        <v>284</v>
      </c>
    </row>
    <row r="124" spans="3:5" x14ac:dyDescent="0.2">
      <c r="D124" s="14" t="s">
        <v>285</v>
      </c>
    </row>
    <row r="125" spans="3:5" x14ac:dyDescent="0.2">
      <c r="D125" s="13" t="s">
        <v>286</v>
      </c>
    </row>
    <row r="126" spans="3:5" x14ac:dyDescent="0.2">
      <c r="D126" s="14" t="s">
        <v>287</v>
      </c>
    </row>
    <row r="127" spans="3:5" x14ac:dyDescent="0.2">
      <c r="D127" s="14" t="s">
        <v>288</v>
      </c>
    </row>
  </sheetData>
  <hyperlinks>
    <hyperlink ref="B4" r:id="rId1" tooltip="Nestlé Bear Brand" display="https://en.wikipedia.org/wiki/Nestl%C3%A9_Bear_Brand" xr:uid="{C98FE569-39AE-4DF9-BB53-FFCE14ED9069}"/>
    <hyperlink ref="B6" r:id="rId2" tooltip="Caro (beverage)" display="https://en.wikipedia.org/wiki/Caro_(beverage)" xr:uid="{4261DEF2-19DB-465D-A0A1-4C018C9E1DF8}"/>
    <hyperlink ref="B8" r:id="rId3" tooltip="D'Onofrio (brand)" display="https://en.wikipedia.org/wiki/D%27Onofrio_(brand)" xr:uid="{4B34B056-B272-41E4-AA37-C4B0BA6A86F2}"/>
    <hyperlink ref="B10" r:id="rId4" tooltip="Milo (drink)" display="https://en.wikipedia.org/wiki/Milo_(drink)" xr:uid="{AFD496C5-98BF-482F-993D-86988B6E3BBA}"/>
    <hyperlink ref="B12" r:id="rId5" tooltip="Nesquik" display="https://en.wikipedia.org/wiki/Nesquik" xr:uid="{CB62215B-0CE4-42BE-961C-D3088E03C86F}"/>
    <hyperlink ref="B18" r:id="rId6" location="cite_note-7" display="https://en.wikipedia.org/wiki/List_of_Nestl%C3%A9_brands - cite_note-7" xr:uid="{D9CA0B20-A26F-4F21-A9FB-4631E08E1436}"/>
    <hyperlink ref="B19" r:id="rId7" tooltip="S.Pellegrino" display="https://en.wikipedia.org/wiki/S.Pellegrino" xr:uid="{3DE8531F-8644-4FFC-8341-7F158A518AF4}"/>
    <hyperlink ref="B21" r:id="rId8" location="cite_note-8" display="https://en.wikipedia.org/wiki/List_of_Nestl%C3%A9_brands - cite_note-8" xr:uid="{38766510-94AA-480F-B900-E27AD4D8401C}"/>
    <hyperlink ref="B22" r:id="rId9" location="cite_note-9" display="https://en.wikipedia.org/wiki/List_of_Nestl%C3%A9_brands - cite_note-9" xr:uid="{CD6E7095-D7FF-495D-9DB0-DE2198E2F441}"/>
    <hyperlink ref="B23" r:id="rId10" tooltip="Sweet Leaf Tea Company" display="https://en.wikipedia.org/wiki/Sweet_Leaf_Tea_Company" xr:uid="{7993BEE2-D156-45D8-BCC7-518D0E3E581C}"/>
    <hyperlink ref="B28" r:id="rId11" location="cite_note-Herrera_2009-11" display="https://en.wikipedia.org/wiki/List_of_Nestl%C3%A9_brands - cite_note-Herrera_2009-11" xr:uid="{FDCDECC8-102F-4FB1-890F-D8204BB69F6A}"/>
    <hyperlink ref="B29" r:id="rId12" location="cite_note-autogenerated1-12" display="https://en.wikipedia.org/wiki/List_of_Nestl%C3%A9_brands - cite_note-autogenerated1-12" xr:uid="{90EBE5A8-5D97-446F-9881-FABFC8AEBCEC}"/>
    <hyperlink ref="B31" r:id="rId13" location="cite_note-autogenerated1-12" display="https://en.wikipedia.org/wiki/List_of_Nestl%C3%A9_brands - cite_note-autogenerated1-12" xr:uid="{3746CBF1-4B55-4DC4-9D31-67C6A3C35F38}"/>
    <hyperlink ref="B33" r:id="rId14" tooltip="Dolce Gusto" display="https://en.wikipedia.org/wiki/Dolce_Gusto" xr:uid="{1BF6A112-00DF-4262-9B74-830C44DC8E69}"/>
    <hyperlink ref="B38" r:id="rId15" tooltip="Loumidis" display="https://en.wikipedia.org/wiki/Loumidis" xr:uid="{C97D6BC6-22A3-4A94-9460-EC9A05CA743B}"/>
    <hyperlink ref="B42" r:id="rId16" location="cite_note-15" display="https://en.wikipedia.org/wiki/List_of_Nestl%C3%A9_brands - cite_note-15" xr:uid="{000EEDB6-1150-4E9A-A869-C5DF95B02AE2}"/>
    <hyperlink ref="B44" r:id="rId17" tooltip="Ricoré" display="https://en.wikipedia.org/wiki/Ricor%C3%A9" xr:uid="{400DD5AA-C119-4232-A60D-2C7FE3AE1413}"/>
    <hyperlink ref="B50" r:id="rId18" location="cite_note-autogenerated1-12" display="https://en.wikipedia.org/wiki/List_of_Nestl%C3%A9_brands - cite_note-autogenerated1-12" xr:uid="{B4943AD6-D20B-4E88-936C-1E2E4166F3E5}"/>
    <hyperlink ref="B55" r:id="rId19" tooltip="Acqua Panna" display="https://en.wikipedia.org/wiki/Acqua_Panna" xr:uid="{CFF67F8D-6B9F-4795-8BF0-83A8C9D7F3E6}"/>
    <hyperlink ref="B66" r:id="rId20" tooltip="Ciego Montero" display="https://en.wikipedia.org/wiki/Ciego_Montero" xr:uid="{D008EC3E-8586-4A59-92BB-0F3BC1C22720}"/>
    <hyperlink ref="B75" r:id="rId21" tooltip="Gerber Products Company" display="https://en.wikipedia.org/wiki/Gerber_Products_Company" xr:uid="{B769F556-6144-4A77-AE73-442174C7FAC8}"/>
    <hyperlink ref="B94" r:id="rId22" tooltip="Princes Gate Spring Water" display="https://en.wikipedia.org/wiki/Princes_Gate_Spring_Water" xr:uid="{A8C178A7-B942-44EB-B148-0C236EFD8ADF}"/>
    <hyperlink ref="B96" r:id="rId23" tooltip="S.Pellegrino" display="https://en.wikipedia.org/wiki/S.Pellegrino" xr:uid="{F3501E78-01B0-444D-95CD-13DC2492A55F}"/>
    <hyperlink ref="B100" r:id="rId24" tooltip="Sohat" display="https://en.wikipedia.org/wiki/Sohat" xr:uid="{11C8BCF4-D543-4C72-95D3-00FF571A1775}"/>
    <hyperlink ref="B104" r:id="rId25" tooltip="Vittel (water)" display="https://en.wikipedia.org/wiki/Vittel_(water)" xr:uid="{DF52C5E5-36F9-40F9-92B3-21BF3741E7AC}"/>
    <hyperlink ref="C7" r:id="rId26" location="cite_note-19" display="https://en.wikipedia.org/wiki/List_of_Nestl%C3%A9_brands - cite_note-19" xr:uid="{9C82F13D-1D83-47F7-A1EC-3CE7598AC3FC}"/>
    <hyperlink ref="C8" r:id="rId27" location="cite_note-20" display="https://en.wikipedia.org/wiki/List_of_Nestl%C3%A9_brands - cite_note-20" xr:uid="{62289CD0-5465-4529-AB6B-61559576B792}"/>
    <hyperlink ref="C10" r:id="rId28" location="cite_note-21" display="https://en.wikipedia.org/wiki/List_of_Nestl%C3%A9_brands - cite_note-21" xr:uid="{AA12E48E-EC0F-468B-820F-C84D9716BDF5}"/>
    <hyperlink ref="C12" r:id="rId29" location="cite_note-23" display="https://en.wikipedia.org/wiki/List_of_Nestl%C3%A9_brands - cite_note-23" xr:uid="{A625E4C6-6AF8-4304-AD67-356E959CBC15}"/>
    <hyperlink ref="C14" r:id="rId30" location="cite_note-25" display="https://en.wikipedia.org/wiki/List_of_Nestl%C3%A9_brands - cite_note-25" xr:uid="{F0E4EAA4-31AE-4992-9682-4827C4348919}"/>
    <hyperlink ref="C16" r:id="rId31" tooltip="Nestle Nigeria" display="https://en.wikipedia.org/wiki/Nestle_Nigeria" xr:uid="{F09E1388-869D-47B0-8CC6-A498D6BE7346}"/>
    <hyperlink ref="C17" r:id="rId32" tooltip="Golden Nuggets" display="https://en.wikipedia.org/wiki/Golden_Nuggets" xr:uid="{474E75D7-11A8-4E5E-B6C3-0C3DE2F2972A}"/>
    <hyperlink ref="C18" r:id="rId33" location="cite_note-Euromonitor-26" display="https://en.wikipedia.org/wiki/List_of_Nestl%C3%A9_brands - cite_note-Euromonitor-26" xr:uid="{11EA283B-BEEA-4239-A845-2DA1EF22D2AB}"/>
    <hyperlink ref="C19" r:id="rId34" location="cite_note-Euromonitor-26" display="https://en.wikipedia.org/wiki/List_of_Nestl%C3%A9_brands - cite_note-Euromonitor-26" xr:uid="{9ED128D3-3B21-459B-9046-1B1BBED8885F}"/>
    <hyperlink ref="C20" r:id="rId35" tooltip="Lion Cereal" display="https://en.wikipedia.org/wiki/Lion_Cereal" xr:uid="{B826D677-C9E6-4A22-9BE7-527DB86C7A9D}"/>
    <hyperlink ref="C23" r:id="rId36" tooltip="Nesquik (cereal)" display="https://en.wikipedia.org/wiki/Nesquik_(cereal)" xr:uid="{4C8310C6-D7FE-4C9D-A33A-79CD75F18218}"/>
    <hyperlink ref="C24" r:id="rId37" location="cite_note-27" display="https://en.wikipedia.org/wiki/List_of_Nestl%C3%A9_brands - cite_note-27" xr:uid="{6AF11E3E-0C6C-4B12-B03B-9068B7A07BFE}"/>
    <hyperlink ref="C25" r:id="rId38" location="cite_note-28" display="https://en.wikipedia.org/wiki/List_of_Nestl%C3%A9_brands - cite_note-28" xr:uid="{9C7360AA-2E2D-4F9D-AC1B-4ADD7F6354BC}"/>
    <hyperlink ref="C29" r:id="rId39" tooltip="Uncle Tobys" display="https://en.wikipedia.org/wiki/Uncle_Tobys" xr:uid="{D657BE54-E2CB-46EB-B9A2-2273A2CF8568}"/>
    <hyperlink ref="C33" r:id="rId40" location="cite_note-Charalampopoulos_Rastall_2009-29" display="https://en.wikipedia.org/wiki/List_of_Nestl%C3%A9_brands - cite_note-Charalampopoulos_Rastall_2009-29" xr:uid="{4C357F27-3A60-4A88-895F-CF778A35962F}"/>
    <hyperlink ref="D4" r:id="rId41" tooltip="Abuelita" display="https://en.wikipedia.org/wiki/Abuelita" xr:uid="{757E31CD-A270-42A4-AE36-0CC1FE51A176}"/>
    <hyperlink ref="D5" r:id="rId42" tooltip="Aero (chocolate)" display="https://en.wikipedia.org/wiki/Aero_(chocolate)" xr:uid="{5E96FE41-0B0F-46CF-AD3F-7EB9C0AF0CB9}"/>
    <hyperlink ref="D8" r:id="rId43" tooltip="Allen's" display="https://en.wikipedia.org/wiki/Allen%27s" xr:uid="{F4E201E9-AE9E-4FCE-96BE-6035E1DC8294}"/>
    <hyperlink ref="D13" r:id="rId44" tooltip="Bertie Beetle" display="https://en.wikipedia.org/wiki/Bertie_Beetle" xr:uid="{9736484C-E351-4A3D-9A1B-6F2654CA03FB}"/>
    <hyperlink ref="D15" r:id="rId45" tooltip="Big Turk" display="https://en.wikipedia.org/wiki/Big_Turk" xr:uid="{B537907F-A9BC-4172-9703-9F1816E88ABD}"/>
    <hyperlink ref="D17" r:id="rId46" tooltip="Blue Riband (biscuits)" display="https://en.wikipedia.org/wiki/Blue_Riband_(biscuits)" xr:uid="{DFBF6C82-8806-48ED-A10C-DC1D0EF41220}"/>
    <hyperlink ref="D21" r:id="rId47" tooltip="Cailler" display="https://en.wikipedia.org/wiki/Cailler" xr:uid="{4A5AC381-6811-48F6-9455-5CBC55219C3E}"/>
    <hyperlink ref="D23" r:id="rId48" tooltip="Caramac" display="https://en.wikipedia.org/wiki/Caramac" xr:uid="{399C5F94-4B4D-4236-9A73-D8CD54CADBF7}"/>
    <hyperlink ref="D24" r:id="rId49" tooltip="Carlos V (chocolate bar)" display="https://en.wikipedia.org/wiki/Carlos_V_(chocolate_bar)" xr:uid="{EA7B5C3A-3DCD-4CC3-B4DD-0F0023EB955A}"/>
    <hyperlink ref="D28" r:id="rId50" tooltip="Chokito" display="https://en.wikipedia.org/wiki/Chokito" xr:uid="{E10A538D-9140-4D3E-8FA7-01BEB9E2076D}"/>
    <hyperlink ref="D29" r:id="rId51" tooltip="Coffee Crisp" display="https://en.wikipedia.org/wiki/Coffee_Crisp" xr:uid="{B6A2F840-80BF-4375-96A4-B9A25DC90D4F}"/>
    <hyperlink ref="D31" r:id="rId52" tooltip="D'Onofrio (brand)" display="https://en.wikipedia.org/wiki/D%27Onofrio_(brand)" xr:uid="{2E79C361-A955-4A0E-8B86-FA35486CBB75}"/>
    <hyperlink ref="D36" r:id="rId53" tooltip="Milkybar" display="https://en.wikipedia.org/wiki/Milkybar" xr:uid="{359B7ADB-B1C4-4982-B1BA-5921A1CD38EB}"/>
    <hyperlink ref="D37" r:id="rId54" tooltip="Garoto" display="https://en.wikipedia.org/wiki/Garoto" xr:uid="{D80F5B28-6CB9-439C-A752-8D4CBDEB4407}"/>
    <hyperlink ref="D44" r:id="rId55" tooltip="Lion (chocolate bar)" display="https://en.wikipedia.org/wiki/Lion_(chocolate_bar)" xr:uid="{FD5B8DD7-A2D0-4634-86F5-748E34561638}"/>
    <hyperlink ref="D45" r:id="rId56" location="cite_note-31" display="https://en.wikipedia.org/wiki/List_of_Nestl%C3%A9_brands - cite_note-31" xr:uid="{AF61D5CD-BAF8-4E90-B202-0328324E0352}"/>
    <hyperlink ref="D58" r:id="rId57" tooltip="Matchmakers" display="https://en.wikipedia.org/wiki/Matchmakers" xr:uid="{52C62F3B-A1A2-41FE-B88A-A237ABB93526}"/>
    <hyperlink ref="D62" r:id="rId58" tooltip="Minties" display="https://en.wikipedia.org/wiki/Minties" xr:uid="{36DE91A5-524F-44B0-A193-0700F770BA59}"/>
    <hyperlink ref="D63" r:id="rId59" tooltip="Mirage (chocolate)" display="https://en.wikipedia.org/wiki/Mirage_(chocolate)" xr:uid="{00C7F95B-E888-4B07-B9C4-3D26FA2C3F50}"/>
    <hyperlink ref="D73" r:id="rId60" tooltip="Nestlé Milk Chocolate" display="https://en.wikipedia.org/wiki/Nestl%C3%A9_Milk_Chocolate" xr:uid="{0EEA24B1-28DD-45D2-B943-D86C8381E706}"/>
    <hyperlink ref="D74" r:id="rId61" tooltip="Nestlé Munch" display="https://en.wikipedia.org/wiki/Nestl%C3%A9_Munch" xr:uid="{34C9BAFA-0400-4121-B96B-4A84AA1D703D}"/>
    <hyperlink ref="D82" r:id="rId62" tooltip="Peppermint Crisp" display="https://en.wikipedia.org/wiki/Peppermint_Crisp" xr:uid="{B59F2A58-7474-445D-9F06-889311F866B6}"/>
    <hyperlink ref="D83" r:id="rId63" tooltip="Perugina" display="https://en.wikipedia.org/wiki/Perugina" xr:uid="{CA296743-F9D8-4058-AB62-C50CE542881F}"/>
    <hyperlink ref="D85" r:id="rId64" tooltip="Polo (confectionery)" display="https://en.wikipedia.org/wiki/Polo_(confectionery)" xr:uid="{F722236D-2A39-4850-B004-027C4FDAEAFB}"/>
    <hyperlink ref="D88" r:id="rId65" tooltip="Quality Street (confectionery)" display="https://en.wikipedia.org/wiki/Quality_Street_(confectionery)" xr:uid="{3005B1D2-471F-4969-AC2A-A59E0289CD2C}"/>
    <hyperlink ref="D110" r:id="rId66" tooltip="Smarties" display="https://en.wikipedia.org/wiki/Smarties" xr:uid="{07F457F5-9D01-4614-AFCA-90AE3D220D08}"/>
    <hyperlink ref="D111" r:id="rId67" tooltip="Aero (chocolate)" display="https://en.wikipedia.org/wiki/Aero_(chocolate)" xr:uid="{C4065B4A-1715-462C-902B-0FDC75F2E72E}"/>
    <hyperlink ref="D115" r:id="rId68" tooltip="Svitoch" display="https://en.wikipedia.org/wiki/Svitoch" xr:uid="{8E1007DB-14C6-46F4-8FBC-3DF35C126D75}"/>
    <hyperlink ref="D119" r:id="rId69" location="Later_developments" tooltip="Mackintosh's" display="https://en.wikipedia.org/wiki/Mackintosh%27s - Later_developments" xr:uid="{6E0ECC16-D3A2-411B-B0A2-8AEE9FFB63BE}"/>
    <hyperlink ref="D120" r:id="rId70" location="cite_note-32" display="https://en.wikipedia.org/wiki/List_of_Nestl%C3%A9_brands - cite_note-32" xr:uid="{81E40EFA-F865-4A13-9ED1-12E95ACA6974}"/>
    <hyperlink ref="D124" r:id="rId71" tooltip="Walnut Whip" display="https://en.wikipedia.org/wiki/Walnut_Whip" xr:uid="{FFAEE500-44CB-4F73-9693-35B416B4FF72}"/>
    <hyperlink ref="D126" r:id="rId72" tooltip="Yorkie (chocolate bar)" display="https://en.wikipedia.org/wiki/Yorkie_(chocolate_bar)" xr:uid="{04032782-A7E7-4998-8C44-BC93F03C961D}"/>
    <hyperlink ref="D127" r:id="rId73" tooltip="Zvečevo" display="https://en.wikipedia.org/wiki/Zve%C4%8Devo" xr:uid="{566D0AF3-5EFE-43CB-89E6-EB59B7A2604E}"/>
    <hyperlink ref="C57" r:id="rId74" location="cite_note-33" display="https://en.wikipedia.org/wiki/List_of_Nestl%C3%A9_brands - cite_note-33" xr:uid="{C3F62110-A692-4AAB-BB1B-E13E8DA30F50}"/>
    <hyperlink ref="C58" r:id="rId75" location="cite_note-34" display="https://en.wikipedia.org/wiki/List_of_Nestl%C3%A9_brands - cite_note-34" xr:uid="{7983E89E-A53C-4970-BCBD-E3B077DFC982}"/>
    <hyperlink ref="C59" r:id="rId76" location="cite_note-35" display="https://en.wikipedia.org/wiki/List_of_Nestl%C3%A9_brands - cite_note-35" xr:uid="{8A23E8AF-F7ED-43F7-B26C-D5DC3BB2E967}"/>
    <hyperlink ref="C65" r:id="rId77" tooltip="California Pizza Kitchen" display="https://en.wikipedia.org/wiki/California_Pizza_Kitchen" xr:uid="{F3B56C09-1B02-4787-B52D-722F541CD6AC}"/>
    <hyperlink ref="C67" r:id="rId78" tooltip="DiGiorno" display="https://en.wikipedia.org/wiki/DiGiorno" xr:uid="{50650672-56C8-44A5-B120-BEB69E6D1A3F}"/>
    <hyperlink ref="C73" r:id="rId79" tooltip="Malher" display="https://en.wikipedia.org/wiki/Malher" xr:uid="{A639A4E6-E386-4BB4-8D80-B943FEE39210}"/>
    <hyperlink ref="C77" r:id="rId80" tooltip="Tombstone (pizza)" display="https://en.wikipedia.org/wiki/Tombstone_(pizza)" xr:uid="{C6128943-62B6-48B6-85A7-669FD337113F}"/>
    <hyperlink ref="C78" r:id="rId81" tooltip="Winiary (company)" display="https://en.wikipedia.org/wiki/Winiary_(company)" xr:uid="{6F76A63B-9DFD-47EF-81BD-22FB2E68F7C1}"/>
    <hyperlink ref="C79" r:id="rId82" tooltip="Nestlé Wagner GmbH" display="https://en.wikipedia.org/wiki/Nestl%C3%A9_Wagner_GmbH" xr:uid="{373A9840-39BD-4A94-8616-A437FC95596C}"/>
    <hyperlink ref="C91" r:id="rId83" tooltip="Drumstick (ice cream)" display="https://en.wikipedia.org/wiki/Drumstick_(ice_cream)" xr:uid="{D2886FB9-D4A5-446F-B30A-1B1F267428BF}"/>
    <hyperlink ref="C97" r:id="rId84" tooltip="Häagen-Dazs" display="https://en.wikipedia.org/wiki/H%C3%A4agen-Dazs" xr:uid="{749C198C-7DD4-4FE0-B64F-937E56063D3D}"/>
    <hyperlink ref="C100" r:id="rId85" tooltip="Maxibon" display="https://en.wikipedia.org/wiki/Maxibon" xr:uid="{DBD15754-0952-4A10-8A22-427D4ADCBFB2}"/>
    <hyperlink ref="C104" r:id="rId86" tooltip="Mövenpick Ice Cream" display="https://en.wikipedia.org/wiki/M%C3%B6venpick_Ice_Cream" xr:uid="{10C5EC1F-B3BE-41F7-B117-90427A57BB51}"/>
    <hyperlink ref="E6" r:id="rId87" tooltip="Carnation (brand)" display="https://en.wikipedia.org/wiki/Carnation_(brand)" xr:uid="{E0F43D59-76DC-4D5D-A89B-DB37842585EC}"/>
    <hyperlink ref="E9" r:id="rId88" location="cite_note-40" display="https://en.wikipedia.org/wiki/List_of_Nestl%C3%A9_brands - cite_note-40" xr:uid="{3CEDCF3A-BD97-4C0B-A176-D0B5220B303C}"/>
    <hyperlink ref="E11" r:id="rId89" location="cite_note-auto-41" display="https://en.wikipedia.org/wiki/List_of_Nestl%C3%A9_brands - cite_note-auto-41" xr:uid="{830B3E1B-FFDD-4C10-9FD0-AF8C9BDB4A6B}"/>
    <hyperlink ref="E12" r:id="rId90" location="cite_note-42" display="https://en.wikipedia.org/wiki/List_of_Nestl%C3%A9_brands - cite_note-42" xr:uid="{2B338B35-2929-4166-8D97-62DBCEF88DD9}"/>
    <hyperlink ref="E14" r:id="rId91" location="cite_note-43" display="https://en.wikipedia.org/wiki/List_of_Nestl%C3%A9_brands - cite_note-43" xr:uid="{FD5D6E92-642F-4B97-AC84-98877ED6A281}"/>
    <hyperlink ref="E16" r:id="rId92" location="cite_note-auto-41" display="https://en.wikipedia.org/wiki/List_of_Nestl%C3%A9_brands - cite_note-auto-41" xr:uid="{1C41CB6C-E231-4B1B-9047-FB5224457A35}"/>
    <hyperlink ref="E18" r:id="rId93" location="cite_note-44" display="https://en.wikipedia.org/wiki/List_of_Nestl%C3%A9_brands - cite_note-44" xr:uid="{4992DE74-D71E-4147-821D-85CE464EDAC7}"/>
    <hyperlink ref="E34" r:id="rId94" tooltip="Sustagen" display="https://en.wikipedia.org/wiki/Sustagen" xr:uid="{C79E0130-0FC4-4941-8629-33D0D2197664}"/>
    <hyperlink ref="E44" r:id="rId95" location="cite_note-Charalampopoulos_Rastall_2009-29" display="https://en.wikipedia.org/wiki/List_of_Nestl%C3%A9_brands - cite_note-Charalampopoulos_Rastall_2009-29" xr:uid="{2EA2B976-1551-4B23-B477-E5F4B00F4C0E}"/>
    <hyperlink ref="E46" r:id="rId96" tooltip="Cerelac" display="https://en.wikipedia.org/wiki/Cerelac" xr:uid="{3B488C51-9ACA-4333-8E08-9D885F4909CB}"/>
    <hyperlink ref="E49" r:id="rId97" location="cite_note-46" display="https://en.wikipedia.org/wiki/List_of_Nestl%C3%A9_brands - cite_note-46" xr:uid="{5A97C506-E681-4977-BE1B-73BE757647B8}"/>
    <hyperlink ref="E54" r:id="rId98" tooltip="Maggi" display="https://en.wikipedia.org/wiki/Maggi" xr:uid="{42D5F9E7-F359-4AF8-9B88-30C3AB4F93F2}"/>
    <hyperlink ref="E65" r:id="rId99" tooltip="Nestlé" display="https://en.wikipedia.org/wiki/Nestl%C3%A9" xr:uid="{7D3D4766-7ED7-46E3-B8FD-9B2498497752}"/>
    <hyperlink ref="E66" r:id="rId100" tooltip="Nestlé Bear Brand" display="https://en.wikipedia.org/wiki/Nestl%C3%A9_Bear_Brand" xr:uid="{F1BF5B30-1DCD-448B-98F3-8171FDDE2372}"/>
    <hyperlink ref="E69" r:id="rId101" tooltip="Nido (brand)" display="https://en.wikipedia.org/wiki/Nido_(brand)" xr:uid="{DFA80412-3AEA-4329-8BEB-9117631056A9}"/>
    <hyperlink ref="E90" r:id="rId102" location="cite_note-stltoday.com_2016-49" display="https://en.wikipedia.org/wiki/List_of_Nestl%C3%A9_brands - cite_note-stltoday.com_2016-49" xr:uid="{09F08FF4-41F4-4FC1-B3B5-73D7689C9285}"/>
    <hyperlink ref="E91" r:id="rId103" location="cite_note-stltoday.com_2016-49" display="https://en.wikipedia.org/wiki/List_of_Nestl%C3%A9_brands - cite_note-stltoday.com_2016-49" xr:uid="{02AF171F-DB26-47B2-81BF-0C7E1966D396}"/>
    <hyperlink ref="E92" r:id="rId104" location="cite_note-stltoday.com_2016-49" display="https://en.wikipedia.org/wiki/List_of_Nestl%C3%A9_brands - cite_note-stltoday.com_2016-49" xr:uid="{4213359A-3B46-4ED6-977D-FFC2B573BE44}"/>
    <hyperlink ref="E93" r:id="rId105" location="cite_note-stltoday.com_2016-49" display="https://en.wikipedia.org/wiki/List_of_Nestl%C3%A9_brands - cite_note-stltoday.com_2016-49" xr:uid="{A4E3338F-3813-4590-B17A-0B00A8D53973}"/>
    <hyperlink ref="E95" r:id="rId106" location="cite_note-stltoday.com_2016-49" display="https://en.wikipedia.org/wiki/List_of_Nestl%C3%A9_brands - cite_note-stltoday.com_2016-49" xr:uid="{5436FC5B-9C11-446F-863E-AE19D650E633}"/>
    <hyperlink ref="E96" r:id="rId107" location="cite_note-stltoday.com_2016-49" display="https://en.wikipedia.org/wiki/List_of_Nestl%C3%A9_brands - cite_note-stltoday.com_2016-49" xr:uid="{81D52B27-D420-4A75-9267-6B4B0476ABD9}"/>
    <hyperlink ref="E98" r:id="rId108" location="cite_note-stltoday.com_2016-49" display="https://en.wikipedia.org/wiki/List_of_Nestl%C3%A9_brands - cite_note-stltoday.com_2016-49" xr:uid="{AAD8DE93-12D9-43B2-82F9-C28C4D30AC9E}"/>
    <hyperlink ref="E108" r:id="rId109" location="cite_note-52" display="https://en.wikipedia.org/wiki/List_of_Nestl%C3%A9_brands - cite_note-52" xr:uid="{760B8FA9-2111-422B-94BB-A45C5E97BECB}"/>
    <hyperlink ref="E120" r:id="rId110" tooltip="Winalot" display="https://en.wikipedia.org/wiki/Winalot" xr:uid="{A2AFFB0D-0E70-4468-8642-A691DBCE8404}"/>
    <hyperlink ref="F4" r:id="rId111" location="cite_note-53" display="https://en.wikipedia.org/wiki/List_of_Nestl%C3%A9_brands - cite_note-53" xr:uid="{95B54615-DDD6-4D8A-8317-DD9F049338B7}"/>
    <hyperlink ref="F5" r:id="rId112" location="cite_note-54" display="https://en.wikipedia.org/wiki/List_of_Nestl%C3%A9_brands - cite_note-54" xr:uid="{16CA6F39-4F91-4A9C-8D89-FCBF01BB8D96}"/>
    <hyperlink ref="F7" r:id="rId113" tooltip="Wikipedia:Citation needed" display="https://en.wikipedia.org/wiki/Wikipedia:Citation_needed" xr:uid="{B4006290-9DBB-42B7-91BB-38D1FEB8EC08}"/>
    <hyperlink ref="F11" r:id="rId114" location="cite_note-56" display="https://en.wikipedia.org/wiki/List_of_Nestl%C3%A9_brands - cite_note-56" xr:uid="{507DCBE0-0810-41B5-844E-B041F79BF8B7}"/>
    <hyperlink ref="F22" r:id="rId115" tooltip="Milo (drink)" display="https://en.wikipedia.org/wiki/Milo_(drink)" xr:uid="{BCD720FD-BEE7-4CE8-A290-B847CBEF90D0}"/>
    <hyperlink ref="F23" r:id="rId116" location="cite_note-58" display="https://en.wikipedia.org/wiki/List_of_Nestl%C3%A9_brands - cite_note-58" xr:uid="{E99478E7-D4BF-4123-8E9A-41D729664827}"/>
    <hyperlink ref="F32" r:id="rId117" tooltip="Lactalis" display="https://en.wikipedia.org/wiki/Lactalis" xr:uid="{EB8BE60E-AA75-4B47-A065-0929D35C4FBC}"/>
    <hyperlink ref="F34" r:id="rId118" location="cite_note-59" display="https://en.wikipedia.org/wiki/List_of_Nestl%C3%A9_brands - cite_note-59" xr:uid="{211E8DA3-A3AD-450B-B4B8-647EDCFD8807}"/>
    <hyperlink ref="F38" r:id="rId119" tooltip="Ski Dairy" display="https://en.wikipedia.org/wiki/Ski_Dairy" xr:uid="{20CE4462-1825-4EAC-AAB2-C3CF153E288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V k 5 W m T A c H y l A A A A 9 g A A A B I A H A B D b 2 5 m a W c v U G F j a 2 F n Z S 5 4 b W w g o h g A K K A U A A A A A A A A A A A A A A A A A A A A A A A A A A A A h Y 9 L D o I w G I S v Q r q n D 0 h 8 k J + y c A v G x M S 4 b W q F R i i G F s v d X H g k r y B G U X c u 5 5 t v M X O / 3 i A b m j q 4 q M 7 q 1 q S I Y Y o C Z W R 7 0 K Z M U e + O 4 Q J l H D Z C n k S p g l E 2 N h n s I U W V c + e E E O 8 9 9 j F u u 5 J E l D K y L / K t r F Q j 0 E f W / + V Q G + u E k Q p x 2 L 3 G 8 A i z e I n Z f I Y p k A l C o c 1 X i M a 9 z / Y H w q q v X d 8 p b u p w n Q O Z I p D 3 B / 4 A U E s D B B Q A A g A I A N l Z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W T l a K I p H u A 4 A A A A R A A A A E w A c A E Z v c m 1 1 b G F z L 1 N l Y 3 R p b 2 4 x L m 0 g o h g A K K A U A A A A A A A A A A A A A A A A A A A A A A A A A A A A K 0 5 N L s n M z 1 M I h t C G 1 g B Q S w E C L Q A U A A I A C A D Z W T l a Z M B w f K U A A A D 2 A A A A E g A A A A A A A A A A A A A A A A A A A A A A Q 2 9 u Z m l n L 1 B h Y 2 t h Z 2 U u e G 1 s U E s B A i 0 A F A A C A A g A 2 V k 5 W g / K 6 a u k A A A A 6 Q A A A B M A A A A A A A A A A A A A A A A A 8 Q A A A F t D b 2 5 0 Z W 5 0 X 1 R 5 c G V z X S 5 4 b W x Q S w E C L Q A U A A I A C A D Z W T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U c B p d D F y U e 7 R z 1 a h T 7 I B Q A A A A A C A A A A A A A Q Z g A A A A E A A C A A A A D w w z i n Y n O U R j D L R K w u d O I 4 3 F Q t I 8 P Q T 0 x D Y H w 3 5 L N U 3 g A A A A A O g A A A A A I A A C A A A A C R h h 5 7 e E K n 6 H o Q a E 3 S B H n z O v W d Q i p V G j + T 4 l r m B Y N e I 1 A A A A C s 4 p 1 A I Z 8 D t r x Y U l M N j i + 4 K S 2 c 3 A K 3 V 6 T 6 m I n e 3 U u K W W c P a j s F r t j q / A u 7 B 8 Z D H X C l f L W P 1 X v 0 W U 1 2 J W B E Y e y 3 6 7 H N d k g l v V O 9 e Q 9 h j p R l n k A A A A C a k J O + z M 9 q R l m G n N N 1 + 4 Z H F / J D k 9 O w W X p / w s x U 7 O x 4 3 k r y o c i k / h V I T z q M c L a 9 g r O S F U U H / w s 1 0 c 4 l F g I x U q 2 D < / D a t a M a s h u p > 
</file>

<file path=customXml/itemProps1.xml><?xml version="1.0" encoding="utf-8"?>
<ds:datastoreItem xmlns:ds="http://schemas.openxmlformats.org/officeDocument/2006/customXml" ds:itemID="{428F6366-5639-44F1-9C17-35E3E27B2D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2025-01-24T19:13:08Z</dcterms:created>
  <dcterms:modified xsi:type="dcterms:W3CDTF">2025-01-26T09:43:33Z</dcterms:modified>
</cp:coreProperties>
</file>