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Sportwear\"/>
    </mc:Choice>
  </mc:AlternateContent>
  <xr:revisionPtr revIDLastSave="0" documentId="13_ncr:1_{22B716CB-D523-42D2-AD3E-AC529F39FF17}" xr6:coauthVersionLast="47" xr6:coauthVersionMax="47" xr10:uidLastSave="{00000000-0000-0000-0000-000000000000}"/>
  <bookViews>
    <workbookView xWindow="-120" yWindow="-120" windowWidth="29040" windowHeight="15840" activeTab="1" xr2:uid="{5EE74768-B9CC-46B2-AA8C-91D26C2996DC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" i="1" l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W14" i="1"/>
  <c r="N59" i="1" l="1"/>
  <c r="K56" i="1" l="1"/>
  <c r="K54" i="1"/>
  <c r="K50" i="1"/>
  <c r="K48" i="1"/>
  <c r="K38" i="1" s="1"/>
  <c r="K47" i="1"/>
  <c r="K45" i="1"/>
  <c r="K39" i="1"/>
  <c r="AN32" i="1"/>
  <c r="U38" i="1"/>
  <c r="N58" i="1"/>
  <c r="N56" i="1"/>
  <c r="N54" i="1"/>
  <c r="N50" i="1"/>
  <c r="N48" i="1"/>
  <c r="N45" i="1"/>
  <c r="N47" i="1" s="1"/>
  <c r="N39" i="1"/>
  <c r="L7" i="2"/>
  <c r="O35" i="1"/>
  <c r="O33" i="1"/>
  <c r="O32" i="1"/>
  <c r="O31" i="1"/>
  <c r="O30" i="1"/>
  <c r="O29" i="1"/>
  <c r="V23" i="1"/>
  <c r="V21" i="1"/>
  <c r="V18" i="1"/>
  <c r="V17" i="1"/>
  <c r="V15" i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O25" i="1"/>
  <c r="O26" i="1"/>
  <c r="O24" i="1"/>
  <c r="O23" i="1"/>
  <c r="O22" i="1"/>
  <c r="O19" i="1"/>
  <c r="O20" i="1" s="1"/>
  <c r="O16" i="1"/>
  <c r="O15" i="1" s="1"/>
  <c r="V14" i="1"/>
  <c r="Q6" i="1"/>
  <c r="Q5" i="1"/>
  <c r="R6" i="1"/>
  <c r="R5" i="1"/>
  <c r="T6" i="1"/>
  <c r="S6" i="1"/>
  <c r="U6" i="1"/>
  <c r="T5" i="1"/>
  <c r="S5" i="1"/>
  <c r="U5" i="1"/>
  <c r="N38" i="1" l="1"/>
  <c r="O28" i="1"/>
  <c r="N19" i="1"/>
  <c r="M19" i="1"/>
  <c r="L19" i="1"/>
  <c r="J19" i="1"/>
  <c r="N35" i="1"/>
  <c r="N30" i="1"/>
  <c r="N29" i="1"/>
  <c r="N16" i="1"/>
  <c r="N28" i="1" s="1"/>
  <c r="L50" i="1"/>
  <c r="L48" i="1"/>
  <c r="L45" i="1"/>
  <c r="L39" i="1"/>
  <c r="M50" i="1"/>
  <c r="M48" i="1"/>
  <c r="M45" i="1"/>
  <c r="M39" i="1"/>
  <c r="M35" i="1"/>
  <c r="M30" i="1"/>
  <c r="M29" i="1"/>
  <c r="M16" i="1"/>
  <c r="M28" i="1" s="1"/>
  <c r="L35" i="1"/>
  <c r="K18" i="1"/>
  <c r="K17" i="1"/>
  <c r="K15" i="1"/>
  <c r="K14" i="1"/>
  <c r="V35" i="1"/>
  <c r="W17" i="1" l="1"/>
  <c r="K19" i="1"/>
  <c r="K16" i="1"/>
  <c r="K28" i="1" s="1"/>
  <c r="K29" i="1"/>
  <c r="L47" i="1"/>
  <c r="N20" i="1"/>
  <c r="M47" i="1"/>
  <c r="L54" i="1"/>
  <c r="L56" i="1" s="1"/>
  <c r="K30" i="1"/>
  <c r="L38" i="1"/>
  <c r="M54" i="1"/>
  <c r="M56" i="1" s="1"/>
  <c r="M38" i="1"/>
  <c r="K35" i="1"/>
  <c r="M20" i="1"/>
  <c r="L29" i="1"/>
  <c r="L30" i="1"/>
  <c r="L16" i="1"/>
  <c r="W18" i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X17" i="1" l="1"/>
  <c r="K20" i="1"/>
  <c r="K22" i="1" s="1"/>
  <c r="N31" i="1"/>
  <c r="N22" i="1"/>
  <c r="M31" i="1"/>
  <c r="M22" i="1"/>
  <c r="L20" i="1"/>
  <c r="L28" i="1"/>
  <c r="J50" i="1"/>
  <c r="J48" i="1"/>
  <c r="J45" i="1"/>
  <c r="J39" i="1"/>
  <c r="J30" i="1"/>
  <c r="J29" i="1"/>
  <c r="J16" i="1"/>
  <c r="J28" i="1" s="1"/>
  <c r="D50" i="1"/>
  <c r="D48" i="1"/>
  <c r="D45" i="1"/>
  <c r="D39" i="1"/>
  <c r="B50" i="1"/>
  <c r="B48" i="1"/>
  <c r="B45" i="1"/>
  <c r="B39" i="1"/>
  <c r="H50" i="1"/>
  <c r="H45" i="1"/>
  <c r="E50" i="1"/>
  <c r="E48" i="1"/>
  <c r="E45" i="1"/>
  <c r="E39" i="1"/>
  <c r="C39" i="1"/>
  <c r="C50" i="1"/>
  <c r="C48" i="1"/>
  <c r="C45" i="1"/>
  <c r="F48" i="1"/>
  <c r="F50" i="1"/>
  <c r="F45" i="1"/>
  <c r="Q77" i="1"/>
  <c r="Q82" i="1" s="1"/>
  <c r="Q74" i="1"/>
  <c r="Q75" i="1" s="1"/>
  <c r="Q63" i="1"/>
  <c r="Q71" i="1" s="1"/>
  <c r="Q87" i="1" s="1"/>
  <c r="R77" i="1"/>
  <c r="R82" i="1" s="1"/>
  <c r="R74" i="1"/>
  <c r="R75" i="1" s="1"/>
  <c r="R63" i="1"/>
  <c r="R71" i="1" s="1"/>
  <c r="R87" i="1" s="1"/>
  <c r="S82" i="1"/>
  <c r="S74" i="1"/>
  <c r="S75" i="1" s="1"/>
  <c r="S63" i="1"/>
  <c r="S71" i="1" s="1"/>
  <c r="S87" i="1" s="1"/>
  <c r="T77" i="1"/>
  <c r="T82" i="1" s="1"/>
  <c r="T74" i="1"/>
  <c r="T75" i="1" s="1"/>
  <c r="T63" i="1"/>
  <c r="T71" i="1" s="1"/>
  <c r="T87" i="1" s="1"/>
  <c r="Y17" i="1" l="1"/>
  <c r="B54" i="1"/>
  <c r="K31" i="1"/>
  <c r="E54" i="1"/>
  <c r="B47" i="1"/>
  <c r="J54" i="1"/>
  <c r="N24" i="1"/>
  <c r="N33" i="1"/>
  <c r="C54" i="1"/>
  <c r="W35" i="1"/>
  <c r="J47" i="1"/>
  <c r="C38" i="1"/>
  <c r="K24" i="1"/>
  <c r="K33" i="1"/>
  <c r="M33" i="1"/>
  <c r="M24" i="1"/>
  <c r="L31" i="1"/>
  <c r="L22" i="1"/>
  <c r="D38" i="1"/>
  <c r="D47" i="1"/>
  <c r="F54" i="1"/>
  <c r="D54" i="1"/>
  <c r="E38" i="1"/>
  <c r="J38" i="1"/>
  <c r="E47" i="1"/>
  <c r="J20" i="1"/>
  <c r="B38" i="1"/>
  <c r="C47" i="1"/>
  <c r="G50" i="1"/>
  <c r="G45" i="1"/>
  <c r="I50" i="1"/>
  <c r="I45" i="1"/>
  <c r="W2" i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N35" i="1"/>
  <c r="V16" i="1"/>
  <c r="U16" i="1"/>
  <c r="U28" i="1" s="1"/>
  <c r="U35" i="1"/>
  <c r="I48" i="1"/>
  <c r="I39" i="1"/>
  <c r="H48" i="1"/>
  <c r="H54" i="1" s="1"/>
  <c r="G48" i="1"/>
  <c r="F39" i="1"/>
  <c r="F47" i="1" s="1"/>
  <c r="G39" i="1"/>
  <c r="H39" i="1"/>
  <c r="H47" i="1" s="1"/>
  <c r="J35" i="1"/>
  <c r="S30" i="1"/>
  <c r="R30" i="1"/>
  <c r="Q30" i="1"/>
  <c r="S29" i="1"/>
  <c r="R29" i="1"/>
  <c r="Q29" i="1"/>
  <c r="T29" i="1"/>
  <c r="T30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I30" i="1"/>
  <c r="I29" i="1"/>
  <c r="Z17" i="1" l="1"/>
  <c r="G54" i="1"/>
  <c r="E55" i="1"/>
  <c r="E56" i="1" s="1"/>
  <c r="B55" i="1"/>
  <c r="B56" i="1" s="1"/>
  <c r="J55" i="1"/>
  <c r="J56" i="1" s="1"/>
  <c r="C55" i="1"/>
  <c r="C56" i="1" s="1"/>
  <c r="N32" i="1"/>
  <c r="N25" i="1"/>
  <c r="X35" i="1"/>
  <c r="H55" i="1"/>
  <c r="H56" i="1" s="1"/>
  <c r="K25" i="1"/>
  <c r="K32" i="1"/>
  <c r="M25" i="1"/>
  <c r="M32" i="1"/>
  <c r="L33" i="1"/>
  <c r="L24" i="1"/>
  <c r="F55" i="1"/>
  <c r="F56" i="1" s="1"/>
  <c r="D55" i="1"/>
  <c r="D56" i="1" s="1"/>
  <c r="I54" i="1"/>
  <c r="J31" i="1"/>
  <c r="J22" i="1"/>
  <c r="V28" i="1"/>
  <c r="W29" i="1"/>
  <c r="V29" i="1"/>
  <c r="G47" i="1"/>
  <c r="I38" i="1"/>
  <c r="W19" i="1"/>
  <c r="U19" i="1"/>
  <c r="U20" i="1" s="1"/>
  <c r="U22" i="1" s="1"/>
  <c r="V19" i="1"/>
  <c r="U29" i="1"/>
  <c r="H38" i="1"/>
  <c r="I47" i="1"/>
  <c r="U24" i="1"/>
  <c r="G38" i="1"/>
  <c r="U30" i="1"/>
  <c r="V24" i="1"/>
  <c r="V38" i="1" s="1"/>
  <c r="W21" i="1" s="1"/>
  <c r="V30" i="1"/>
  <c r="F38" i="1"/>
  <c r="W16" i="1"/>
  <c r="W28" i="1" s="1"/>
  <c r="L8" i="2"/>
  <c r="L11" i="2" s="1"/>
  <c r="L13" i="2" s="1"/>
  <c r="AA17" i="1" l="1"/>
  <c r="G55" i="1"/>
  <c r="G56" i="1" s="1"/>
  <c r="I55" i="1"/>
  <c r="I56" i="1" s="1"/>
  <c r="Y35" i="1"/>
  <c r="L32" i="1"/>
  <c r="L25" i="1"/>
  <c r="V32" i="1"/>
  <c r="J24" i="1"/>
  <c r="M58" i="1" s="1"/>
  <c r="M59" i="1" s="1"/>
  <c r="J33" i="1"/>
  <c r="W30" i="1"/>
  <c r="V20" i="1"/>
  <c r="U32" i="1"/>
  <c r="W20" i="1"/>
  <c r="W31" i="1" s="1"/>
  <c r="X16" i="1"/>
  <c r="X28" i="1" s="1"/>
  <c r="U31" i="1"/>
  <c r="R35" i="1"/>
  <c r="S35" i="1"/>
  <c r="F35" i="1"/>
  <c r="G35" i="1"/>
  <c r="H35" i="1"/>
  <c r="I35" i="1"/>
  <c r="C19" i="1"/>
  <c r="C16" i="1"/>
  <c r="G19" i="1"/>
  <c r="G16" i="1"/>
  <c r="G28" i="1" s="1"/>
  <c r="B19" i="1"/>
  <c r="B16" i="1"/>
  <c r="F19" i="1"/>
  <c r="F16" i="1"/>
  <c r="F28" i="1" s="1"/>
  <c r="D19" i="1"/>
  <c r="D16" i="1"/>
  <c r="D28" i="1" s="1"/>
  <c r="H19" i="1"/>
  <c r="H16" i="1"/>
  <c r="E19" i="1"/>
  <c r="E16" i="1"/>
  <c r="E28" i="1" s="1"/>
  <c r="I19" i="1"/>
  <c r="I16" i="1"/>
  <c r="Q19" i="1"/>
  <c r="Q16" i="1"/>
  <c r="Q28" i="1" s="1"/>
  <c r="R21" i="1"/>
  <c r="R19" i="1"/>
  <c r="R16" i="1"/>
  <c r="R28" i="1" s="1"/>
  <c r="T35" i="1"/>
  <c r="S19" i="1"/>
  <c r="S16" i="1"/>
  <c r="S28" i="1" s="1"/>
  <c r="T19" i="1"/>
  <c r="T16" i="1"/>
  <c r="T28" i="1" s="1"/>
  <c r="AB17" i="1" l="1"/>
  <c r="Z35" i="1"/>
  <c r="J32" i="1"/>
  <c r="J25" i="1"/>
  <c r="V31" i="1"/>
  <c r="X29" i="1"/>
  <c r="Y16" i="1"/>
  <c r="Y28" i="1" s="1"/>
  <c r="Y29" i="1"/>
  <c r="X30" i="1"/>
  <c r="X19" i="1"/>
  <c r="U33" i="1"/>
  <c r="I28" i="1"/>
  <c r="I20" i="1"/>
  <c r="C20" i="1"/>
  <c r="C22" i="1" s="1"/>
  <c r="C24" i="1" s="1"/>
  <c r="C28" i="1"/>
  <c r="G20" i="1"/>
  <c r="B20" i="1"/>
  <c r="B22" i="1" s="1"/>
  <c r="B24" i="1" s="1"/>
  <c r="B28" i="1"/>
  <c r="F20" i="1"/>
  <c r="H20" i="1"/>
  <c r="D20" i="1"/>
  <c r="H28" i="1"/>
  <c r="E20" i="1"/>
  <c r="T20" i="1"/>
  <c r="Q20" i="1"/>
  <c r="R20" i="1"/>
  <c r="S20" i="1"/>
  <c r="AC17" i="1" l="1"/>
  <c r="C31" i="1"/>
  <c r="AA35" i="1"/>
  <c r="X20" i="1"/>
  <c r="X31" i="1" s="1"/>
  <c r="V22" i="1"/>
  <c r="W22" i="1"/>
  <c r="W23" i="1" s="1"/>
  <c r="Y30" i="1"/>
  <c r="Y19" i="1"/>
  <c r="Y20" i="1" s="1"/>
  <c r="Y31" i="1" s="1"/>
  <c r="Z16" i="1"/>
  <c r="Z28" i="1" s="1"/>
  <c r="Z29" i="1"/>
  <c r="H31" i="1"/>
  <c r="B31" i="1"/>
  <c r="H22" i="1"/>
  <c r="H24" i="1" s="1"/>
  <c r="C33" i="1"/>
  <c r="G31" i="1"/>
  <c r="G22" i="1"/>
  <c r="G24" i="1" s="1"/>
  <c r="B33" i="1"/>
  <c r="F31" i="1"/>
  <c r="F22" i="1"/>
  <c r="F24" i="1" s="1"/>
  <c r="D31" i="1"/>
  <c r="D22" i="1"/>
  <c r="D24" i="1" s="1"/>
  <c r="E22" i="1"/>
  <c r="E24" i="1" s="1"/>
  <c r="E31" i="1"/>
  <c r="I31" i="1"/>
  <c r="I22" i="1"/>
  <c r="I24" i="1" s="1"/>
  <c r="L58" i="1" s="1"/>
  <c r="L59" i="1" s="1"/>
  <c r="T22" i="1"/>
  <c r="T24" i="1" s="1"/>
  <c r="T61" i="1" s="1"/>
  <c r="T31" i="1"/>
  <c r="Q22" i="1"/>
  <c r="Q24" i="1" s="1"/>
  <c r="Q31" i="1"/>
  <c r="R31" i="1"/>
  <c r="R22" i="1"/>
  <c r="R24" i="1" s="1"/>
  <c r="R61" i="1" s="1"/>
  <c r="S22" i="1"/>
  <c r="S24" i="1" s="1"/>
  <c r="S61" i="1" s="1"/>
  <c r="S31" i="1"/>
  <c r="AD17" i="1" l="1"/>
  <c r="V33" i="1"/>
  <c r="J58" i="1"/>
  <c r="J59" i="1" s="1"/>
  <c r="K58" i="1"/>
  <c r="K59" i="1" s="1"/>
  <c r="AB35" i="1"/>
  <c r="G58" i="1"/>
  <c r="G59" i="1" s="1"/>
  <c r="E58" i="1"/>
  <c r="E59" i="1" s="1"/>
  <c r="H58" i="1"/>
  <c r="H59" i="1" s="1"/>
  <c r="I58" i="1"/>
  <c r="I59" i="1" s="1"/>
  <c r="F58" i="1"/>
  <c r="F59" i="1" s="1"/>
  <c r="Q61" i="1"/>
  <c r="Q25" i="1"/>
  <c r="AA29" i="1"/>
  <c r="AA16" i="1"/>
  <c r="AA28" i="1" s="1"/>
  <c r="W33" i="1"/>
  <c r="Z30" i="1"/>
  <c r="Z19" i="1"/>
  <c r="Z20" i="1" s="1"/>
  <c r="Z31" i="1" s="1"/>
  <c r="H33" i="1"/>
  <c r="C25" i="1"/>
  <c r="C32" i="1"/>
  <c r="G33" i="1"/>
  <c r="B32" i="1"/>
  <c r="B25" i="1"/>
  <c r="F33" i="1"/>
  <c r="D33" i="1"/>
  <c r="H32" i="1"/>
  <c r="H25" i="1"/>
  <c r="E33" i="1"/>
  <c r="I33" i="1"/>
  <c r="T33" i="1"/>
  <c r="Q33" i="1"/>
  <c r="R33" i="1"/>
  <c r="S33" i="1"/>
  <c r="AE17" i="1" l="1"/>
  <c r="AC35" i="1"/>
  <c r="W24" i="1"/>
  <c r="W38" i="1" s="1"/>
  <c r="AA30" i="1"/>
  <c r="AA19" i="1"/>
  <c r="AA20" i="1" s="1"/>
  <c r="AA31" i="1" s="1"/>
  <c r="AB16" i="1"/>
  <c r="AB28" i="1" s="1"/>
  <c r="AB29" i="1"/>
  <c r="G32" i="1"/>
  <c r="G25" i="1"/>
  <c r="F32" i="1"/>
  <c r="F25" i="1"/>
  <c r="D32" i="1"/>
  <c r="D25" i="1"/>
  <c r="E32" i="1"/>
  <c r="E25" i="1"/>
  <c r="I32" i="1"/>
  <c r="I25" i="1"/>
  <c r="T32" i="1"/>
  <c r="T25" i="1"/>
  <c r="R32" i="1"/>
  <c r="R25" i="1"/>
  <c r="S32" i="1"/>
  <c r="S25" i="1"/>
  <c r="Q32" i="1"/>
  <c r="AF17" i="1" l="1"/>
  <c r="AD35" i="1"/>
  <c r="X21" i="1"/>
  <c r="W25" i="1"/>
  <c r="W32" i="1"/>
  <c r="AC16" i="1"/>
  <c r="AC28" i="1" s="1"/>
  <c r="AC29" i="1"/>
  <c r="AB30" i="1"/>
  <c r="AB19" i="1"/>
  <c r="AB20" i="1" s="1"/>
  <c r="AB31" i="1" s="1"/>
  <c r="AG17" i="1" l="1"/>
  <c r="AE35" i="1"/>
  <c r="X22" i="1"/>
  <c r="X23" i="1" s="1"/>
  <c r="AC19" i="1"/>
  <c r="AC20" i="1" s="1"/>
  <c r="AC31" i="1" s="1"/>
  <c r="AC30" i="1"/>
  <c r="AD29" i="1"/>
  <c r="AD16" i="1"/>
  <c r="AD28" i="1" s="1"/>
  <c r="AH17" i="1" l="1"/>
  <c r="AH19" i="1" s="1"/>
  <c r="AF35" i="1"/>
  <c r="AD30" i="1"/>
  <c r="AD19" i="1"/>
  <c r="AD20" i="1" s="1"/>
  <c r="AD31" i="1" s="1"/>
  <c r="AE29" i="1"/>
  <c r="AE16" i="1"/>
  <c r="AE28" i="1" s="1"/>
  <c r="X33" i="1"/>
  <c r="AI17" i="1" l="1"/>
  <c r="AI19" i="1" s="1"/>
  <c r="AG35" i="1"/>
  <c r="X24" i="1"/>
  <c r="X38" i="1" s="1"/>
  <c r="AF29" i="1"/>
  <c r="AF16" i="1"/>
  <c r="AF28" i="1" s="1"/>
  <c r="AE30" i="1"/>
  <c r="AE19" i="1"/>
  <c r="AE20" i="1" s="1"/>
  <c r="AE31" i="1" s="1"/>
  <c r="AK17" i="1" l="1"/>
  <c r="AK19" i="1" s="1"/>
  <c r="AJ17" i="1"/>
  <c r="AJ19" i="1" s="1"/>
  <c r="AH35" i="1"/>
  <c r="AH30" i="1"/>
  <c r="AH16" i="1"/>
  <c r="AH29" i="1"/>
  <c r="Y21" i="1"/>
  <c r="X32" i="1"/>
  <c r="X25" i="1"/>
  <c r="AF19" i="1"/>
  <c r="AF20" i="1" s="1"/>
  <c r="AF31" i="1" s="1"/>
  <c r="AF30" i="1"/>
  <c r="AG29" i="1"/>
  <c r="AG16" i="1"/>
  <c r="AH28" i="1" l="1"/>
  <c r="AH20" i="1"/>
  <c r="AH31" i="1" s="1"/>
  <c r="AI35" i="1"/>
  <c r="AI30" i="1"/>
  <c r="AI16" i="1"/>
  <c r="AI29" i="1"/>
  <c r="AG28" i="1"/>
  <c r="Y22" i="1"/>
  <c r="Y23" i="1" s="1"/>
  <c r="AG19" i="1"/>
  <c r="AG20" i="1" s="1"/>
  <c r="AG30" i="1"/>
  <c r="AI28" i="1" l="1"/>
  <c r="AI20" i="1"/>
  <c r="AI31" i="1" s="1"/>
  <c r="AJ35" i="1"/>
  <c r="AJ16" i="1"/>
  <c r="AJ29" i="1"/>
  <c r="AJ30" i="1"/>
  <c r="AG31" i="1"/>
  <c r="Y33" i="1"/>
  <c r="AJ28" i="1" l="1"/>
  <c r="AJ20" i="1"/>
  <c r="AJ31" i="1" s="1"/>
  <c r="AK35" i="1"/>
  <c r="AK16" i="1"/>
  <c r="AK29" i="1"/>
  <c r="AK30" i="1"/>
  <c r="Y24" i="1"/>
  <c r="Y38" i="1" s="1"/>
  <c r="AK28" i="1" l="1"/>
  <c r="AK20" i="1"/>
  <c r="AK31" i="1" s="1"/>
  <c r="Z21" i="1"/>
  <c r="Y32" i="1"/>
  <c r="Y25" i="1"/>
  <c r="Z22" i="1" l="1"/>
  <c r="Z23" i="1" s="1"/>
  <c r="Z33" i="1" l="1"/>
  <c r="Z24" i="1" l="1"/>
  <c r="Z38" i="1" s="1"/>
  <c r="AA21" i="1" l="1"/>
  <c r="Z25" i="1"/>
  <c r="Z32" i="1"/>
  <c r="AA22" i="1" l="1"/>
  <c r="AA23" i="1" s="1"/>
  <c r="AA33" i="1" l="1"/>
  <c r="AA24" i="1" l="1"/>
  <c r="AA38" i="1" s="1"/>
  <c r="AB21" i="1" l="1"/>
  <c r="AA25" i="1"/>
  <c r="AA32" i="1"/>
  <c r="AB22" i="1" l="1"/>
  <c r="AB23" i="1" s="1"/>
  <c r="AB33" i="1" l="1"/>
  <c r="AB24" i="1" l="1"/>
  <c r="AB38" i="1" s="1"/>
  <c r="AC21" i="1" l="1"/>
  <c r="AB25" i="1"/>
  <c r="AB32" i="1"/>
  <c r="AC22" i="1" l="1"/>
  <c r="AC23" i="1" s="1"/>
  <c r="AC33" i="1" l="1"/>
  <c r="AC24" i="1" l="1"/>
  <c r="AC38" i="1" s="1"/>
  <c r="AD21" i="1" l="1"/>
  <c r="AC25" i="1"/>
  <c r="AC32" i="1"/>
  <c r="AD22" i="1" l="1"/>
  <c r="AD23" i="1" s="1"/>
  <c r="AD33" i="1" l="1"/>
  <c r="AD24" i="1" l="1"/>
  <c r="AD38" i="1" s="1"/>
  <c r="AD32" i="1" l="1"/>
  <c r="AE21" i="1"/>
  <c r="AD25" i="1"/>
  <c r="AE22" i="1" l="1"/>
  <c r="AE23" i="1" s="1"/>
  <c r="AE33" i="1" l="1"/>
  <c r="AE24" i="1" l="1"/>
  <c r="AE38" i="1" s="1"/>
  <c r="AF21" i="1" l="1"/>
  <c r="AE25" i="1"/>
  <c r="AE32" i="1"/>
  <c r="AF22" i="1" l="1"/>
  <c r="AF23" i="1" s="1"/>
  <c r="AF33" i="1" l="1"/>
  <c r="AF24" i="1" l="1"/>
  <c r="AF38" i="1" s="1"/>
  <c r="AG21" i="1" l="1"/>
  <c r="AF25" i="1"/>
  <c r="AF32" i="1"/>
  <c r="AG22" i="1" l="1"/>
  <c r="AG23" i="1" s="1"/>
  <c r="AG33" i="1" l="1"/>
  <c r="AG24" i="1" l="1"/>
  <c r="AG38" i="1" s="1"/>
  <c r="AH21" i="1" l="1"/>
  <c r="AG32" i="1"/>
  <c r="AG25" i="1"/>
  <c r="AH22" i="1" l="1"/>
  <c r="AH23" i="1" s="1"/>
  <c r="AH24" i="1" l="1"/>
  <c r="AH38" i="1" s="1"/>
  <c r="AH33" i="1"/>
  <c r="AI21" i="1" l="1"/>
  <c r="AH32" i="1"/>
  <c r="AH25" i="1"/>
  <c r="AI22" i="1" l="1"/>
  <c r="AI23" i="1" s="1"/>
  <c r="AI33" i="1" l="1"/>
  <c r="AI24" i="1" l="1"/>
  <c r="AI38" i="1" s="1"/>
  <c r="AI32" i="1" l="1"/>
  <c r="AJ21" i="1"/>
  <c r="AI25" i="1"/>
  <c r="AJ22" i="1" l="1"/>
  <c r="AJ23" i="1" s="1"/>
  <c r="AJ24" i="1" l="1"/>
  <c r="AJ38" i="1" s="1"/>
  <c r="AJ33" i="1"/>
  <c r="AK21" i="1" l="1"/>
  <c r="AJ32" i="1"/>
  <c r="AJ25" i="1"/>
  <c r="AK22" i="1" l="1"/>
  <c r="AK23" i="1" s="1"/>
  <c r="AK33" i="1" l="1"/>
  <c r="AK24" i="1" l="1"/>
  <c r="AK38" i="1" s="1"/>
  <c r="AK32" i="1" l="1"/>
  <c r="AL24" i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CT24" i="1" s="1"/>
  <c r="CU24" i="1" s="1"/>
  <c r="CV24" i="1" s="1"/>
  <c r="CW24" i="1" s="1"/>
  <c r="CX24" i="1" s="1"/>
  <c r="CY24" i="1" s="1"/>
  <c r="CZ24" i="1" s="1"/>
  <c r="DA24" i="1" s="1"/>
  <c r="DB24" i="1" s="1"/>
  <c r="DC24" i="1" s="1"/>
  <c r="DD24" i="1" s="1"/>
  <c r="DE24" i="1" s="1"/>
  <c r="DF24" i="1" s="1"/>
  <c r="DG24" i="1" s="1"/>
  <c r="DH24" i="1" s="1"/>
  <c r="DI24" i="1" s="1"/>
  <c r="DJ24" i="1" s="1"/>
  <c r="DK24" i="1" s="1"/>
  <c r="DL24" i="1" s="1"/>
  <c r="DM24" i="1" s="1"/>
  <c r="DN24" i="1" s="1"/>
  <c r="DO24" i="1" s="1"/>
  <c r="DP24" i="1" s="1"/>
  <c r="DQ24" i="1" s="1"/>
  <c r="DR24" i="1" s="1"/>
  <c r="DS24" i="1" s="1"/>
  <c r="DT24" i="1" s="1"/>
  <c r="DU24" i="1" s="1"/>
  <c r="DV24" i="1" s="1"/>
  <c r="DW24" i="1" s="1"/>
  <c r="DX24" i="1" s="1"/>
  <c r="DY24" i="1" s="1"/>
  <c r="DZ24" i="1" s="1"/>
  <c r="EA24" i="1" s="1"/>
  <c r="EB24" i="1" s="1"/>
  <c r="EC24" i="1" s="1"/>
  <c r="ED24" i="1" s="1"/>
  <c r="EE24" i="1" s="1"/>
  <c r="EF24" i="1" s="1"/>
  <c r="EG24" i="1" s="1"/>
  <c r="EH24" i="1" s="1"/>
  <c r="AN31" i="1" s="1"/>
  <c r="AK25" i="1"/>
  <c r="AN33" i="1" l="1"/>
  <c r="AN34" i="1" s="1"/>
</calcChain>
</file>

<file path=xl/sharedStrings.xml><?xml version="1.0" encoding="utf-8"?>
<sst xmlns="http://schemas.openxmlformats.org/spreadsheetml/2006/main" count="103" uniqueCount="89">
  <si>
    <t>COGS</t>
  </si>
  <si>
    <t>Gross profit</t>
  </si>
  <si>
    <t>G&amp;A</t>
  </si>
  <si>
    <t>S&amp;M</t>
  </si>
  <si>
    <t>Operating expense</t>
  </si>
  <si>
    <t>Interest income</t>
  </si>
  <si>
    <t>Pretaxes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</si>
  <si>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</si>
  <si>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</si>
  <si>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</si>
  <si>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</si>
  <si>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</si>
  <si>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</si>
  <si>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</si>
  <si>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Taxe rate</t>
  </si>
  <si>
    <t>Operating income</t>
  </si>
  <si>
    <t>Revenue y/y</t>
  </si>
  <si>
    <t>Q123</t>
  </si>
  <si>
    <t>Q422</t>
  </si>
  <si>
    <t>Q322</t>
  </si>
  <si>
    <t>Price</t>
  </si>
  <si>
    <t>MC</t>
  </si>
  <si>
    <t>Cash</t>
  </si>
  <si>
    <t>Debt</t>
  </si>
  <si>
    <t>EV</t>
  </si>
  <si>
    <t>A/R</t>
  </si>
  <si>
    <t>Inventories</t>
  </si>
  <si>
    <t>PP&amp;E</t>
  </si>
  <si>
    <t>Lease</t>
  </si>
  <si>
    <t>Total assets</t>
  </si>
  <si>
    <t>A/P</t>
  </si>
  <si>
    <t>Accrued expense</t>
  </si>
  <si>
    <t>Total liabilities</t>
  </si>
  <si>
    <t>S/E</t>
  </si>
  <si>
    <t>L+S/E</t>
  </si>
  <si>
    <t>NPV</t>
  </si>
  <si>
    <t>Net cash</t>
  </si>
  <si>
    <t>Total value</t>
  </si>
  <si>
    <t>Per share</t>
  </si>
  <si>
    <t>Current price</t>
  </si>
  <si>
    <t>S&amp;M margin</t>
  </si>
  <si>
    <t>G&amp;A margin</t>
  </si>
  <si>
    <t>Q224</t>
  </si>
  <si>
    <t>ROIC</t>
  </si>
  <si>
    <t>Goodwill</t>
  </si>
  <si>
    <t>D/R</t>
  </si>
  <si>
    <t>Reported NI</t>
  </si>
  <si>
    <t>Model NI</t>
  </si>
  <si>
    <t>D&amp;A</t>
  </si>
  <si>
    <t>SBC</t>
  </si>
  <si>
    <t>FCA</t>
  </si>
  <si>
    <t>CFFO</t>
  </si>
  <si>
    <t>CapEx</t>
  </si>
  <si>
    <t>Investments</t>
  </si>
  <si>
    <t>CFFI</t>
  </si>
  <si>
    <t>Cost of treasury stocks</t>
  </si>
  <si>
    <t>Buybacks</t>
  </si>
  <si>
    <t>Dividends</t>
  </si>
  <si>
    <t>CFFF</t>
  </si>
  <si>
    <t>Other</t>
  </si>
  <si>
    <t>FX</t>
  </si>
  <si>
    <t>CIC</t>
  </si>
  <si>
    <t>CFFO+CapEx-SBC</t>
  </si>
  <si>
    <t>Prepaid</t>
  </si>
  <si>
    <t>Q223</t>
  </si>
  <si>
    <t>Q124</t>
  </si>
  <si>
    <t>Q324</t>
  </si>
  <si>
    <t>Q424</t>
  </si>
  <si>
    <t>Q423</t>
  </si>
  <si>
    <t>Q323</t>
  </si>
  <si>
    <t>DT</t>
  </si>
  <si>
    <t>Revenue</t>
  </si>
  <si>
    <t>Q125</t>
  </si>
  <si>
    <t>Q225</t>
  </si>
  <si>
    <t>NI TTM</t>
  </si>
  <si>
    <t>Tangible return</t>
  </si>
  <si>
    <t>Prepaid &amp; other</t>
  </si>
  <si>
    <t>Q325</t>
  </si>
  <si>
    <t>North America</t>
  </si>
  <si>
    <t>Europe, Middle East &amp; Africa</t>
  </si>
  <si>
    <t>Greater China</t>
  </si>
  <si>
    <t>Asia Pacific &amp; Latin America</t>
  </si>
  <si>
    <t>Global Brand Division</t>
  </si>
  <si>
    <t>Terminal</t>
  </si>
  <si>
    <t>Discount</t>
  </si>
  <si>
    <t>Wholesale Customers</t>
  </si>
  <si>
    <t>NIKE Direct</t>
  </si>
  <si>
    <t>Wholesale margin</t>
  </si>
  <si>
    <t>NIKE Direct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</si>
</sst>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8" formatCode="d/mm/yy;@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4" fontId="6" fillId="0" borderId="0" xfId="0" applyNumberFormat="1" applyFont="1"/>
    <xf numFmtId="4" fontId="6" fillId="0" borderId="0" xfId="1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2" fontId="6" fillId="0" borderId="0" xfId="1" applyNumberFormat="1" applyFont="1"/>
    <xf numFmtId="9" fontId="6" fillId="0" borderId="0" xfId="1" applyFont="1" applyAlignment="1">
      <alignment horizontal="right"/>
    </xf>
    <xf numFmtId="9" fontId="6" fillId="0" borderId="0" xfId="1" applyFont="1"/>
    <xf numFmtId="9" fontId="7" fillId="0" borderId="0" xfId="1" applyFont="1"/>
    <xf numFmtId="9" fontId="7" fillId="0" borderId="0" xfId="1" applyFont="1" applyAlignment="1">
      <alignment horizontal="right"/>
    </xf>
    <xf numFmtId="2" fontId="6" fillId="0" borderId="0" xfId="0" applyNumberFormat="1" applyFont="1"/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6" fillId="0" borderId="0" xfId="1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 applyAlignment="1">
      <alignment horizontal="right"/>
    </xf>
    <xf numFmtId="9" fontId="2" fillId="0" borderId="0" xfId="0" applyNumberFormat="1" applyFont="1"/>
    <xf numFmtId="9" fontId="6" fillId="0" borderId="0" xfId="0" applyNumberFormat="1" applyFont="1" applyAlignment="1">
      <alignment horizontal="right"/>
    </xf>
    <xf numFmtId="9" fontId="6" fillId="0" borderId="0" xfId="0" applyNumberFormat="1" applyFont="1"/>
    <xf numFmtId="168" fontId="6" fillId="0" borderId="0" xfId="0" applyNumberFormat="1" applyFont="1"/>
    <xf numFmtId="168" fontId="6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6" fillId="0" borderId="0" xfId="1" applyNumberFormat="1" applyFont="1" applyAlignment="1">
      <alignment vertical="center"/>
    </xf>
    <xf numFmtId="2" fontId="6" fillId="0" borderId="0" xfId="1" applyNumberFormat="1" applyFont="1" applyAlignment="1">
      <alignment horizontal="right" vertical="center"/>
    </xf>
    <xf numFmtId="2" fontId="8" fillId="0" borderId="0" xfId="1" applyNumberFormat="1" applyFont="1" applyAlignment="1">
      <alignment vertical="center"/>
    </xf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/>
    <xf numFmtId="9" fontId="3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0</xdr:rowOff>
    </xdr:from>
    <xdr:to>
      <xdr:col>14</xdr:col>
      <xdr:colOff>19050</xdr:colOff>
      <xdr:row>93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1E57D6-D648-FB02-897A-C89A472E5F4E}"/>
            </a:ext>
          </a:extLst>
        </xdr:cNvPr>
        <xdr:cNvCxnSpPr/>
      </xdr:nvCxnSpPr>
      <xdr:spPr>
        <a:xfrm>
          <a:off x="9201150" y="0"/>
          <a:ext cx="0" cy="13458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0</xdr:rowOff>
    </xdr:from>
    <xdr:to>
      <xdr:col>21</xdr:col>
      <xdr:colOff>19050</xdr:colOff>
      <xdr:row>93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3233BD1-8A05-483C-930B-9EC5CB7506FE}"/>
            </a:ext>
          </a:extLst>
        </xdr:cNvPr>
        <xdr:cNvCxnSpPr/>
      </xdr:nvCxnSpPr>
      <xdr:spPr>
        <a:xfrm>
          <a:off x="13487400" y="38100"/>
          <a:ext cx="0" cy="13344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8281-E2D7-438E-B954-443E28EF09CF}">
  <dimension ref="C6:M13"/>
  <sheetViews>
    <sheetView workbookViewId="0">
      <selection activeCell="L9" sqref="L9"/>
    </sheetView>
  </sheetViews>
  <sheetFormatPr defaultRowHeight="12.75" x14ac:dyDescent="0.2"/>
  <cols>
    <col min="1" max="1" width="2.7109375" style="21" customWidth="1"/>
    <col min="2" max="2" width="11.85546875" style="21" bestFit="1" customWidth="1"/>
    <col min="3" max="16384" width="9.140625" style="21"/>
  </cols>
  <sheetData>
    <row r="6" spans="3:13" x14ac:dyDescent="0.2">
      <c r="K6" s="21" t="s">
        <v>20</v>
      </c>
      <c r="L6" s="25">
        <v>68</v>
      </c>
      <c r="M6" s="22"/>
    </row>
    <row r="7" spans="3:13" x14ac:dyDescent="0.2">
      <c r="K7" s="21" t="s">
        <v>10</v>
      </c>
      <c r="L7" s="23">
        <f>+Model!N26</f>
        <v>1480.6</v>
      </c>
      <c r="M7" s="33" t="s">
        <v>77</v>
      </c>
    </row>
    <row r="8" spans="3:13" x14ac:dyDescent="0.2">
      <c r="K8" s="21" t="s">
        <v>21</v>
      </c>
      <c r="L8" s="23">
        <f>+L7*L6</f>
        <v>100680.79999999999</v>
      </c>
      <c r="M8" s="22"/>
    </row>
    <row r="9" spans="3:13" x14ac:dyDescent="0.2">
      <c r="K9" s="21" t="s">
        <v>22</v>
      </c>
      <c r="L9" s="23">
        <v>10573</v>
      </c>
      <c r="M9" s="33" t="s">
        <v>77</v>
      </c>
    </row>
    <row r="10" spans="3:13" x14ac:dyDescent="0.2">
      <c r="K10" s="21" t="s">
        <v>23</v>
      </c>
      <c r="L10" s="23">
        <v>8936</v>
      </c>
      <c r="M10" s="33" t="s">
        <v>77</v>
      </c>
    </row>
    <row r="11" spans="3:13" x14ac:dyDescent="0.2">
      <c r="K11" s="21" t="s">
        <v>24</v>
      </c>
      <c r="L11" s="23">
        <f>+L8-L9+L10</f>
        <v>99043.799999999988</v>
      </c>
      <c r="M11" s="22"/>
    </row>
    <row r="12" spans="3:13" x14ac:dyDescent="0.2">
      <c r="C12" s="24"/>
      <c r="L12" s="23">
        <v>4182</v>
      </c>
      <c r="M12" s="22"/>
    </row>
    <row r="13" spans="3:13" x14ac:dyDescent="0.2">
      <c r="L13" s="24">
        <f>+L11/L12</f>
        <v>23.683357245337156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56-E720-4391-85B8-12A1A069BCAC}">
  <dimension ref="A1:EH89"/>
  <sheetViews>
    <sheetView tabSelected="1" zoomScaleNormal="100" workbookViewId="0">
      <pane xSplit="1" ySplit="2" topLeftCell="B54" activePane="bottomRight" state="frozen"/>
      <selection pane="topRight" activeCell="B1" sqref="B1"/>
      <selection pane="bottomLeft" activeCell="A4" sqref="A4"/>
      <selection pane="bottomRight" activeCell="I72" sqref="I72"/>
    </sheetView>
  </sheetViews>
  <sheetFormatPr defaultRowHeight="12.75" x14ac:dyDescent="0.2"/>
  <cols>
    <col min="1" max="1" width="20.7109375" style="1" bestFit="1" customWidth="1"/>
    <col min="2" max="15" width="9" style="1" customWidth="1"/>
    <col min="16" max="37" width="9.28515625" style="1" customWidth="1"/>
    <col min="38" max="38" width="9.140625" style="1"/>
    <col min="39" max="39" width="12.42578125" style="1" bestFit="1" customWidth="1"/>
    <col min="40" max="16384" width="9.140625" style="1"/>
  </cols>
  <sheetData>
    <row r="1" spans="1:37" s="30" customFormat="1" x14ac:dyDescent="0.2">
      <c r="B1" s="31">
        <v>44620</v>
      </c>
      <c r="C1" s="31">
        <v>44712</v>
      </c>
      <c r="D1" s="31">
        <v>44804</v>
      </c>
      <c r="E1" s="31">
        <v>44895</v>
      </c>
      <c r="F1" s="31">
        <v>44985</v>
      </c>
      <c r="G1" s="31">
        <v>45077</v>
      </c>
      <c r="H1" s="31">
        <v>45169</v>
      </c>
      <c r="I1" s="31">
        <v>45260</v>
      </c>
      <c r="J1" s="32">
        <v>45351</v>
      </c>
      <c r="K1" s="31">
        <v>45443</v>
      </c>
      <c r="L1" s="31">
        <v>45535</v>
      </c>
      <c r="M1" s="31">
        <v>45626</v>
      </c>
      <c r="N1" s="31">
        <v>45716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37" x14ac:dyDescent="0.2">
      <c r="B2" s="19" t="s">
        <v>19</v>
      </c>
      <c r="C2" s="19" t="s">
        <v>18</v>
      </c>
      <c r="D2" s="19" t="s">
        <v>17</v>
      </c>
      <c r="E2" s="19" t="s">
        <v>64</v>
      </c>
      <c r="F2" s="19" t="s">
        <v>69</v>
      </c>
      <c r="G2" s="19" t="s">
        <v>68</v>
      </c>
      <c r="H2" s="19" t="s">
        <v>65</v>
      </c>
      <c r="I2" s="19" t="s">
        <v>42</v>
      </c>
      <c r="J2" s="19" t="s">
        <v>66</v>
      </c>
      <c r="K2" s="19" t="s">
        <v>67</v>
      </c>
      <c r="L2" s="22" t="s">
        <v>72</v>
      </c>
      <c r="M2" s="22" t="s">
        <v>73</v>
      </c>
      <c r="N2" s="33" t="s">
        <v>77</v>
      </c>
      <c r="O2" s="22"/>
      <c r="P2" s="2"/>
      <c r="Q2" s="2">
        <v>2020</v>
      </c>
      <c r="R2" s="2">
        <v>2021</v>
      </c>
      <c r="S2" s="2">
        <v>2022</v>
      </c>
      <c r="T2" s="2">
        <v>2023</v>
      </c>
      <c r="U2" s="2">
        <v>2024</v>
      </c>
      <c r="V2" s="2">
        <v>2025</v>
      </c>
      <c r="W2" s="2">
        <f>+V2+1</f>
        <v>2026</v>
      </c>
      <c r="X2" s="2">
        <f t="shared" ref="X2:AG2" si="0">+W2+1</f>
        <v>2027</v>
      </c>
      <c r="Y2" s="2">
        <f t="shared" si="0"/>
        <v>2028</v>
      </c>
      <c r="Z2" s="2">
        <f t="shared" si="0"/>
        <v>2029</v>
      </c>
      <c r="AA2" s="2">
        <f t="shared" si="0"/>
        <v>2030</v>
      </c>
      <c r="AB2" s="2">
        <f t="shared" si="0"/>
        <v>2031</v>
      </c>
      <c r="AC2" s="2">
        <f t="shared" si="0"/>
        <v>2032</v>
      </c>
      <c r="AD2" s="2">
        <f t="shared" si="0"/>
        <v>2033</v>
      </c>
      <c r="AE2" s="2">
        <f t="shared" si="0"/>
        <v>2034</v>
      </c>
      <c r="AF2" s="2">
        <f t="shared" si="0"/>
        <v>2035</v>
      </c>
      <c r="AG2" s="2">
        <f t="shared" si="0"/>
        <v>2036</v>
      </c>
      <c r="AH2" s="2">
        <f t="shared" ref="AH2" si="1">+AG2+1</f>
        <v>2037</v>
      </c>
      <c r="AI2" s="2">
        <f t="shared" ref="AI2" si="2">+AH2+1</f>
        <v>2038</v>
      </c>
      <c r="AJ2" s="2">
        <f t="shared" ref="AJ2" si="3">+AI2+1</f>
        <v>2039</v>
      </c>
      <c r="AK2" s="2">
        <f t="shared" ref="AK2" si="4">+AJ2+1</f>
        <v>2040</v>
      </c>
    </row>
    <row r="3" spans="1:37" s="5" customFormat="1" x14ac:dyDescent="0.2">
      <c r="A3" s="38" t="s">
        <v>85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26"/>
      <c r="M3" s="26"/>
      <c r="N3" s="40"/>
      <c r="O3" s="26"/>
      <c r="P3" s="6"/>
      <c r="Q3" s="6">
        <v>23156</v>
      </c>
      <c r="R3" s="6">
        <v>25898</v>
      </c>
      <c r="S3" s="6">
        <v>25608</v>
      </c>
      <c r="T3" s="6">
        <v>27397</v>
      </c>
      <c r="U3" s="6">
        <v>27758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5" customFormat="1" x14ac:dyDescent="0.2">
      <c r="A4" s="38" t="s">
        <v>86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26"/>
      <c r="M4" s="26"/>
      <c r="N4" s="40"/>
      <c r="O4" s="26"/>
      <c r="P4" s="6"/>
      <c r="Q4" s="6">
        <v>12382</v>
      </c>
      <c r="R4" s="6">
        <v>16370</v>
      </c>
      <c r="S4" s="6">
        <v>18726</v>
      </c>
      <c r="T4" s="6">
        <v>21308</v>
      </c>
      <c r="U4" s="6">
        <v>21519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29" customFormat="1" x14ac:dyDescent="0.2">
      <c r="A5" s="41" t="s">
        <v>87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  <c r="M5" s="43"/>
      <c r="N5" s="44"/>
      <c r="O5" s="43"/>
      <c r="P5" s="28"/>
      <c r="Q5" s="28">
        <f>+Q3/Q14</f>
        <v>0.61909472502205709</v>
      </c>
      <c r="R5" s="28">
        <f>+R3/R14</f>
        <v>0.58148098253177061</v>
      </c>
      <c r="S5" s="28">
        <f>+S3/S14</f>
        <v>0.54823378291586389</v>
      </c>
      <c r="T5" s="28">
        <f>+T3/T14</f>
        <v>0.53492004607845056</v>
      </c>
      <c r="U5" s="28">
        <f>+U3/U14</f>
        <v>0.5404384564464001</v>
      </c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37" s="29" customFormat="1" x14ac:dyDescent="0.2">
      <c r="A6" s="41" t="s">
        <v>88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3"/>
      <c r="M6" s="43"/>
      <c r="N6" s="44"/>
      <c r="O6" s="43"/>
      <c r="P6" s="28"/>
      <c r="Q6" s="28">
        <f>+Q4/Q14</f>
        <v>0.33104296446809078</v>
      </c>
      <c r="R6" s="28">
        <f>+R4/R14</f>
        <v>0.36755130450401902</v>
      </c>
      <c r="S6" s="28">
        <f>+S4/S14</f>
        <v>0.40089916506101475</v>
      </c>
      <c r="T6" s="28">
        <f>+T4/T14</f>
        <v>0.41603373879766486</v>
      </c>
      <c r="U6" s="28">
        <f>+U4/U14</f>
        <v>0.41896732993263502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</row>
    <row r="7" spans="1:3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22"/>
      <c r="M7" s="22"/>
      <c r="N7" s="33"/>
      <c r="O7" s="2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s="5" customFormat="1" x14ac:dyDescent="0.2">
      <c r="A8" s="38" t="s">
        <v>78</v>
      </c>
      <c r="B8" s="39"/>
      <c r="C8" s="39"/>
      <c r="D8" s="39"/>
      <c r="E8" s="39"/>
      <c r="F8" s="39"/>
      <c r="G8" s="39">
        <v>1390</v>
      </c>
      <c r="H8" s="39">
        <v>1434</v>
      </c>
      <c r="I8" s="39">
        <v>1526</v>
      </c>
      <c r="J8" s="39">
        <v>1400</v>
      </c>
      <c r="K8" s="39">
        <v>1462</v>
      </c>
      <c r="L8" s="26">
        <v>1216</v>
      </c>
      <c r="M8" s="26">
        <v>1371</v>
      </c>
      <c r="N8" s="40">
        <v>1103</v>
      </c>
      <c r="O8" s="26"/>
      <c r="P8" s="6"/>
      <c r="Q8" s="6">
        <v>2899</v>
      </c>
      <c r="R8" s="6">
        <v>5089</v>
      </c>
      <c r="S8" s="6">
        <v>5114</v>
      </c>
      <c r="T8" s="6">
        <v>5454</v>
      </c>
      <c r="U8" s="6">
        <v>5822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5" customFormat="1" x14ac:dyDescent="0.2">
      <c r="A9" s="38" t="s">
        <v>79</v>
      </c>
      <c r="B9" s="39"/>
      <c r="C9" s="39"/>
      <c r="D9" s="39"/>
      <c r="E9" s="39"/>
      <c r="F9" s="39"/>
      <c r="G9" s="39">
        <v>781</v>
      </c>
      <c r="H9" s="39">
        <v>930</v>
      </c>
      <c r="I9" s="39">
        <v>927</v>
      </c>
      <c r="J9" s="39">
        <v>734</v>
      </c>
      <c r="K9" s="39">
        <v>797</v>
      </c>
      <c r="L9" s="26">
        <v>792</v>
      </c>
      <c r="M9" s="26">
        <v>831</v>
      </c>
      <c r="N9" s="40">
        <v>480</v>
      </c>
      <c r="O9" s="26"/>
      <c r="P9" s="6"/>
      <c r="Q9" s="6">
        <v>1551</v>
      </c>
      <c r="R9" s="6">
        <v>2435</v>
      </c>
      <c r="S9" s="6">
        <v>3293</v>
      </c>
      <c r="T9" s="6">
        <v>3531</v>
      </c>
      <c r="U9" s="6">
        <v>3388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5" customFormat="1" x14ac:dyDescent="0.2">
      <c r="A10" s="38" t="s">
        <v>80</v>
      </c>
      <c r="B10" s="39"/>
      <c r="C10" s="39"/>
      <c r="D10" s="39"/>
      <c r="E10" s="39"/>
      <c r="F10" s="39"/>
      <c r="G10" s="39">
        <v>529</v>
      </c>
      <c r="H10" s="39">
        <v>525</v>
      </c>
      <c r="I10" s="39">
        <v>514</v>
      </c>
      <c r="J10" s="39">
        <v>722</v>
      </c>
      <c r="K10" s="39">
        <v>548</v>
      </c>
      <c r="L10" s="26">
        <v>502</v>
      </c>
      <c r="M10" s="26">
        <v>375</v>
      </c>
      <c r="N10" s="40">
        <v>421</v>
      </c>
      <c r="O10" s="26"/>
      <c r="P10" s="6"/>
      <c r="Q10" s="6">
        <v>2490</v>
      </c>
      <c r="R10" s="6">
        <v>3243</v>
      </c>
      <c r="S10" s="6">
        <v>2365</v>
      </c>
      <c r="T10" s="6">
        <v>2283</v>
      </c>
      <c r="U10" s="6">
        <v>2309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5" customFormat="1" x14ac:dyDescent="0.2">
      <c r="A11" s="38" t="s">
        <v>81</v>
      </c>
      <c r="B11" s="39"/>
      <c r="C11" s="39"/>
      <c r="D11" s="39"/>
      <c r="E11" s="39"/>
      <c r="F11" s="39"/>
      <c r="G11" s="39">
        <v>462</v>
      </c>
      <c r="H11" s="39">
        <v>414</v>
      </c>
      <c r="I11" s="39">
        <v>521</v>
      </c>
      <c r="J11" s="39">
        <v>471</v>
      </c>
      <c r="K11" s="39">
        <v>479</v>
      </c>
      <c r="L11" s="26">
        <v>402</v>
      </c>
      <c r="M11" s="26">
        <v>460</v>
      </c>
      <c r="N11" s="40">
        <v>346</v>
      </c>
      <c r="O11" s="26"/>
      <c r="P11" s="6"/>
      <c r="Q11" s="6">
        <v>1184</v>
      </c>
      <c r="R11" s="6">
        <v>1530</v>
      </c>
      <c r="S11" s="6">
        <v>1896</v>
      </c>
      <c r="T11" s="6">
        <v>1932</v>
      </c>
      <c r="U11" s="6">
        <v>1885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5" customFormat="1" x14ac:dyDescent="0.2">
      <c r="A12" s="38" t="s">
        <v>82</v>
      </c>
      <c r="B12" s="39"/>
      <c r="C12" s="39"/>
      <c r="D12" s="39"/>
      <c r="E12" s="39"/>
      <c r="F12" s="39"/>
      <c r="G12" s="39">
        <v>-1268</v>
      </c>
      <c r="H12" s="39">
        <v>-1205</v>
      </c>
      <c r="I12" s="39">
        <v>-1168</v>
      </c>
      <c r="J12" s="39">
        <v>-1199</v>
      </c>
      <c r="K12" s="39">
        <v>-1148</v>
      </c>
      <c r="L12" s="26">
        <v>-1227</v>
      </c>
      <c r="M12" s="26">
        <v>-1133</v>
      </c>
      <c r="N12" s="40">
        <v>-1093</v>
      </c>
      <c r="O12" s="26"/>
      <c r="P12" s="6"/>
      <c r="Q12" s="6">
        <v>-3468</v>
      </c>
      <c r="R12" s="6">
        <v>-3656</v>
      </c>
      <c r="S12" s="6">
        <v>-4262</v>
      </c>
      <c r="T12" s="6">
        <v>-4841</v>
      </c>
      <c r="U12" s="6">
        <v>-4720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2"/>
      <c r="M13" s="22"/>
      <c r="N13" s="33"/>
      <c r="O13" s="2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3" customFormat="1" x14ac:dyDescent="0.2">
      <c r="A14" s="3" t="s">
        <v>71</v>
      </c>
      <c r="B14" s="4">
        <v>10871</v>
      </c>
      <c r="C14" s="4">
        <v>12234</v>
      </c>
      <c r="D14" s="4">
        <v>12687</v>
      </c>
      <c r="E14" s="4">
        <v>13315</v>
      </c>
      <c r="F14" s="4">
        <v>12390</v>
      </c>
      <c r="G14" s="4">
        <v>12825</v>
      </c>
      <c r="H14" s="4">
        <v>12939</v>
      </c>
      <c r="I14" s="4">
        <v>13388</v>
      </c>
      <c r="J14" s="4">
        <v>12429</v>
      </c>
      <c r="K14" s="4">
        <f>+U14-SUM(H14:J14)</f>
        <v>12606</v>
      </c>
      <c r="L14" s="4">
        <v>11589</v>
      </c>
      <c r="M14" s="4">
        <v>12354</v>
      </c>
      <c r="N14" s="4">
        <v>11269</v>
      </c>
      <c r="O14" s="4">
        <v>11000</v>
      </c>
      <c r="P14" s="4"/>
      <c r="Q14" s="4">
        <v>37403</v>
      </c>
      <c r="R14" s="4">
        <v>44538</v>
      </c>
      <c r="S14" s="4">
        <v>46710</v>
      </c>
      <c r="T14" s="4">
        <v>51217</v>
      </c>
      <c r="U14" s="4">
        <v>51362</v>
      </c>
      <c r="V14" s="4">
        <f>+SUM(L14:O14)</f>
        <v>46212</v>
      </c>
      <c r="W14" s="4">
        <f>+V14*1.01</f>
        <v>46674.12</v>
      </c>
      <c r="X14" s="4">
        <f t="shared" ref="X14:AK14" si="5">+W14*1.01</f>
        <v>47140.861200000007</v>
      </c>
      <c r="Y14" s="4">
        <f t="shared" si="5"/>
        <v>47612.269812000006</v>
      </c>
      <c r="Z14" s="4">
        <f t="shared" si="5"/>
        <v>48088.392510120008</v>
      </c>
      <c r="AA14" s="4">
        <f t="shared" si="5"/>
        <v>48569.276435221211</v>
      </c>
      <c r="AB14" s="4">
        <f t="shared" si="5"/>
        <v>49054.969199573425</v>
      </c>
      <c r="AC14" s="4">
        <f t="shared" si="5"/>
        <v>49545.518891569161</v>
      </c>
      <c r="AD14" s="4">
        <f t="shared" si="5"/>
        <v>50040.974080484855</v>
      </c>
      <c r="AE14" s="4">
        <f t="shared" si="5"/>
        <v>50541.383821289703</v>
      </c>
      <c r="AF14" s="4">
        <f t="shared" si="5"/>
        <v>51046.797659502598</v>
      </c>
      <c r="AG14" s="4">
        <f t="shared" si="5"/>
        <v>51557.265636097625</v>
      </c>
      <c r="AH14" s="4">
        <f t="shared" si="5"/>
        <v>52072.838292458604</v>
      </c>
      <c r="AI14" s="4">
        <f t="shared" si="5"/>
        <v>52593.56667538319</v>
      </c>
      <c r="AJ14" s="4">
        <f t="shared" si="5"/>
        <v>53119.502342137021</v>
      </c>
      <c r="AK14" s="4">
        <f t="shared" si="5"/>
        <v>53650.697365558393</v>
      </c>
    </row>
    <row r="15" spans="1:37" s="5" customFormat="1" x14ac:dyDescent="0.2">
      <c r="A15" s="5" t="s">
        <v>0</v>
      </c>
      <c r="B15" s="6">
        <v>5804</v>
      </c>
      <c r="C15" s="6">
        <v>6731</v>
      </c>
      <c r="D15" s="6">
        <v>7072</v>
      </c>
      <c r="E15" s="6">
        <v>7604</v>
      </c>
      <c r="F15" s="6">
        <v>7019</v>
      </c>
      <c r="G15" s="6">
        <v>7230</v>
      </c>
      <c r="H15" s="6">
        <v>7219</v>
      </c>
      <c r="I15" s="6">
        <v>7417</v>
      </c>
      <c r="J15" s="6">
        <v>6867</v>
      </c>
      <c r="K15" s="26">
        <f>+U15-SUM(H15:J15)</f>
        <v>6972</v>
      </c>
      <c r="L15" s="26">
        <v>6332</v>
      </c>
      <c r="M15" s="26">
        <v>6965</v>
      </c>
      <c r="N15" s="26">
        <v>6594</v>
      </c>
      <c r="O15" s="26">
        <f>+O14-O16</f>
        <v>6160</v>
      </c>
      <c r="P15" s="6"/>
      <c r="Q15" s="6">
        <v>21162</v>
      </c>
      <c r="R15" s="6">
        <v>24576</v>
      </c>
      <c r="S15" s="6">
        <v>25231</v>
      </c>
      <c r="T15" s="6">
        <v>28925</v>
      </c>
      <c r="U15" s="6">
        <v>28475</v>
      </c>
      <c r="V15" s="40">
        <f>+SUM(L15:O15)</f>
        <v>26051</v>
      </c>
      <c r="W15" s="6">
        <f t="shared" ref="W15:AK15" si="6">+V15*1.01</f>
        <v>26311.510000000002</v>
      </c>
      <c r="X15" s="6">
        <f t="shared" si="6"/>
        <v>26574.625100000001</v>
      </c>
      <c r="Y15" s="6">
        <f t="shared" si="6"/>
        <v>26840.371351000002</v>
      </c>
      <c r="Z15" s="6">
        <f t="shared" si="6"/>
        <v>27108.775064510002</v>
      </c>
      <c r="AA15" s="6">
        <f t="shared" si="6"/>
        <v>27379.862815155102</v>
      </c>
      <c r="AB15" s="6">
        <f t="shared" si="6"/>
        <v>27653.661443306653</v>
      </c>
      <c r="AC15" s="6">
        <f t="shared" si="6"/>
        <v>27930.198057739719</v>
      </c>
      <c r="AD15" s="6">
        <f t="shared" si="6"/>
        <v>28209.500038317117</v>
      </c>
      <c r="AE15" s="6">
        <f t="shared" si="6"/>
        <v>28491.595038700289</v>
      </c>
      <c r="AF15" s="6">
        <f t="shared" si="6"/>
        <v>28776.510989087292</v>
      </c>
      <c r="AG15" s="6">
        <f t="shared" si="6"/>
        <v>29064.276098978164</v>
      </c>
      <c r="AH15" s="6">
        <f t="shared" si="6"/>
        <v>29354.918859967947</v>
      </c>
      <c r="AI15" s="6">
        <f t="shared" si="6"/>
        <v>29648.468048567625</v>
      </c>
      <c r="AJ15" s="6">
        <f t="shared" si="6"/>
        <v>29944.952729053301</v>
      </c>
      <c r="AK15" s="6">
        <f t="shared" si="6"/>
        <v>30244.402256343834</v>
      </c>
    </row>
    <row r="16" spans="1:37" s="5" customFormat="1" x14ac:dyDescent="0.2">
      <c r="A16" s="5" t="s">
        <v>1</v>
      </c>
      <c r="B16" s="6">
        <f t="shared" ref="B16:K16" si="7">+B14-B15</f>
        <v>5067</v>
      </c>
      <c r="C16" s="6">
        <f t="shared" si="7"/>
        <v>5503</v>
      </c>
      <c r="D16" s="6">
        <f t="shared" si="7"/>
        <v>5615</v>
      </c>
      <c r="E16" s="6">
        <f t="shared" si="7"/>
        <v>5711</v>
      </c>
      <c r="F16" s="6">
        <f t="shared" si="7"/>
        <v>5371</v>
      </c>
      <c r="G16" s="6">
        <f t="shared" si="7"/>
        <v>5595</v>
      </c>
      <c r="H16" s="6">
        <f t="shared" si="7"/>
        <v>5720</v>
      </c>
      <c r="I16" s="6">
        <f t="shared" si="7"/>
        <v>5971</v>
      </c>
      <c r="J16" s="6">
        <f t="shared" si="7"/>
        <v>5562</v>
      </c>
      <c r="K16" s="6">
        <f t="shared" si="7"/>
        <v>5634</v>
      </c>
      <c r="L16" s="6">
        <f t="shared" ref="L16:M16" si="8">+L14-L15</f>
        <v>5257</v>
      </c>
      <c r="M16" s="6">
        <f t="shared" si="8"/>
        <v>5389</v>
      </c>
      <c r="N16" s="6">
        <f t="shared" ref="N16:O16" si="9">+N14-N15</f>
        <v>4675</v>
      </c>
      <c r="O16" s="6">
        <f>+O14*0.44</f>
        <v>4840</v>
      </c>
      <c r="P16" s="6"/>
      <c r="Q16" s="6">
        <f>+Q14-Q15</f>
        <v>16241</v>
      </c>
      <c r="R16" s="6">
        <f>+R14-R15</f>
        <v>19962</v>
      </c>
      <c r="S16" s="6">
        <f>+S14-S15</f>
        <v>21479</v>
      </c>
      <c r="T16" s="6">
        <f>+T14-T15</f>
        <v>22292</v>
      </c>
      <c r="U16" s="6">
        <f t="shared" ref="U16:AG16" si="10">+U14-U15</f>
        <v>22887</v>
      </c>
      <c r="V16" s="6">
        <f t="shared" si="10"/>
        <v>20161</v>
      </c>
      <c r="W16" s="6">
        <f t="shared" si="10"/>
        <v>20362.61</v>
      </c>
      <c r="X16" s="6">
        <f t="shared" si="10"/>
        <v>20566.236100000006</v>
      </c>
      <c r="Y16" s="6">
        <f t="shared" si="10"/>
        <v>20771.898461000004</v>
      </c>
      <c r="Z16" s="6">
        <f t="shared" si="10"/>
        <v>20979.617445610005</v>
      </c>
      <c r="AA16" s="6">
        <f t="shared" si="10"/>
        <v>21189.413620066109</v>
      </c>
      <c r="AB16" s="6">
        <f t="shared" si="10"/>
        <v>21401.307756266771</v>
      </c>
      <c r="AC16" s="6">
        <f t="shared" si="10"/>
        <v>21615.320833829443</v>
      </c>
      <c r="AD16" s="6">
        <f t="shared" si="10"/>
        <v>21831.474042167738</v>
      </c>
      <c r="AE16" s="6">
        <f t="shared" si="10"/>
        <v>22049.788782589414</v>
      </c>
      <c r="AF16" s="6">
        <f t="shared" si="10"/>
        <v>22270.286670415306</v>
      </c>
      <c r="AG16" s="6">
        <f t="shared" si="10"/>
        <v>22492.989537119462</v>
      </c>
      <c r="AH16" s="6">
        <f t="shared" ref="AH16:AK16" si="11">+AH14-AH15</f>
        <v>22717.919432490657</v>
      </c>
      <c r="AI16" s="6">
        <f t="shared" si="11"/>
        <v>22945.098626815565</v>
      </c>
      <c r="AJ16" s="6">
        <f t="shared" si="11"/>
        <v>23174.54961308372</v>
      </c>
      <c r="AK16" s="6">
        <f t="shared" si="11"/>
        <v>23406.295109214559</v>
      </c>
    </row>
    <row r="17" spans="1:138" s="5" customFormat="1" x14ac:dyDescent="0.2">
      <c r="A17" s="5" t="s">
        <v>3</v>
      </c>
      <c r="B17" s="6">
        <v>854</v>
      </c>
      <c r="C17" s="6">
        <v>1061</v>
      </c>
      <c r="D17" s="6">
        <v>943</v>
      </c>
      <c r="E17" s="6">
        <v>1102</v>
      </c>
      <c r="F17" s="6">
        <v>923</v>
      </c>
      <c r="G17" s="6">
        <v>1092</v>
      </c>
      <c r="H17" s="6">
        <v>1069</v>
      </c>
      <c r="I17" s="6">
        <v>1114</v>
      </c>
      <c r="J17" s="6">
        <v>1011</v>
      </c>
      <c r="K17" s="26">
        <f>+U17-SUM(H17:J17)</f>
        <v>1091</v>
      </c>
      <c r="L17" s="26">
        <v>1226</v>
      </c>
      <c r="M17" s="26">
        <v>1122</v>
      </c>
      <c r="N17" s="26">
        <v>1088</v>
      </c>
      <c r="O17" s="26">
        <v>1000</v>
      </c>
      <c r="P17" s="6"/>
      <c r="Q17" s="6">
        <v>3592</v>
      </c>
      <c r="R17" s="6">
        <v>3114</v>
      </c>
      <c r="S17" s="6">
        <v>3850</v>
      </c>
      <c r="T17" s="6">
        <v>4060</v>
      </c>
      <c r="U17" s="6">
        <v>4285</v>
      </c>
      <c r="V17" s="40">
        <f>+SUM(L17:O17)</f>
        <v>4436</v>
      </c>
      <c r="W17" s="6">
        <f t="shared" ref="W17:AK17" si="12">+W14*0.09</f>
        <v>4200.6707999999999</v>
      </c>
      <c r="X17" s="6">
        <f t="shared" si="12"/>
        <v>4242.6775080000007</v>
      </c>
      <c r="Y17" s="6">
        <f t="shared" si="12"/>
        <v>4285.1042830800006</v>
      </c>
      <c r="Z17" s="6">
        <f t="shared" si="12"/>
        <v>4327.9553259108006</v>
      </c>
      <c r="AA17" s="6">
        <f t="shared" si="12"/>
        <v>4371.2348791699087</v>
      </c>
      <c r="AB17" s="6">
        <f t="shared" si="12"/>
        <v>4414.9472279616084</v>
      </c>
      <c r="AC17" s="6">
        <f t="shared" si="12"/>
        <v>4459.0967002412244</v>
      </c>
      <c r="AD17" s="6">
        <f t="shared" si="12"/>
        <v>4503.6876672436365</v>
      </c>
      <c r="AE17" s="6">
        <f t="shared" si="12"/>
        <v>4548.7245439160733</v>
      </c>
      <c r="AF17" s="6">
        <f t="shared" si="12"/>
        <v>4594.211789355234</v>
      </c>
      <c r="AG17" s="6">
        <f t="shared" si="12"/>
        <v>4640.1539072487858</v>
      </c>
      <c r="AH17" s="6">
        <f t="shared" si="12"/>
        <v>4686.5554463212738</v>
      </c>
      <c r="AI17" s="6">
        <f t="shared" si="12"/>
        <v>4733.4210007844868</v>
      </c>
      <c r="AJ17" s="6">
        <f t="shared" si="12"/>
        <v>4780.755210792332</v>
      </c>
      <c r="AK17" s="6">
        <f t="shared" si="12"/>
        <v>4828.5627629002556</v>
      </c>
    </row>
    <row r="18" spans="1:138" s="5" customFormat="1" x14ac:dyDescent="0.2">
      <c r="A18" s="5" t="s">
        <v>2</v>
      </c>
      <c r="B18" s="6">
        <v>2584</v>
      </c>
      <c r="C18" s="6">
        <v>2974</v>
      </c>
      <c r="D18" s="6">
        <v>2977</v>
      </c>
      <c r="E18" s="6">
        <v>3022</v>
      </c>
      <c r="F18" s="6">
        <v>3036</v>
      </c>
      <c r="G18" s="6">
        <v>3282</v>
      </c>
      <c r="H18" s="6">
        <v>3047</v>
      </c>
      <c r="I18" s="6">
        <v>3032</v>
      </c>
      <c r="J18" s="6">
        <v>3215</v>
      </c>
      <c r="K18" s="26">
        <f>+U18-SUM(H18:J18)</f>
        <v>2997</v>
      </c>
      <c r="L18" s="26">
        <v>2822</v>
      </c>
      <c r="M18" s="26">
        <v>2883</v>
      </c>
      <c r="N18" s="26">
        <v>2799</v>
      </c>
      <c r="O18" s="26">
        <v>2600</v>
      </c>
      <c r="P18" s="6"/>
      <c r="Q18" s="6">
        <v>9534</v>
      </c>
      <c r="R18" s="6">
        <v>9911</v>
      </c>
      <c r="S18" s="6">
        <v>10954</v>
      </c>
      <c r="T18" s="6">
        <v>12317</v>
      </c>
      <c r="U18" s="6">
        <v>12291</v>
      </c>
      <c r="V18" s="40">
        <f>+SUM(L18:O18)</f>
        <v>11104</v>
      </c>
      <c r="W18" s="6">
        <f t="shared" ref="W18:AK18" si="13">+V18*1.005</f>
        <v>11159.519999999999</v>
      </c>
      <c r="X18" s="6">
        <f t="shared" si="13"/>
        <v>11215.317599999997</v>
      </c>
      <c r="Y18" s="6">
        <f t="shared" si="13"/>
        <v>11271.394187999995</v>
      </c>
      <c r="Z18" s="6">
        <f t="shared" si="13"/>
        <v>11327.751158939993</v>
      </c>
      <c r="AA18" s="6">
        <f t="shared" si="13"/>
        <v>11384.389914734691</v>
      </c>
      <c r="AB18" s="6">
        <f t="shared" si="13"/>
        <v>11441.311864308364</v>
      </c>
      <c r="AC18" s="6">
        <f t="shared" si="13"/>
        <v>11498.518423629905</v>
      </c>
      <c r="AD18" s="6">
        <f t="shared" si="13"/>
        <v>11556.011015748052</v>
      </c>
      <c r="AE18" s="6">
        <f t="shared" si="13"/>
        <v>11613.791070826792</v>
      </c>
      <c r="AF18" s="6">
        <f t="shared" si="13"/>
        <v>11671.860026180924</v>
      </c>
      <c r="AG18" s="6">
        <f t="shared" si="13"/>
        <v>11730.219326311828</v>
      </c>
      <c r="AH18" s="6">
        <f t="shared" si="13"/>
        <v>11788.870422943386</v>
      </c>
      <c r="AI18" s="6">
        <f t="shared" si="13"/>
        <v>11847.814775058101</v>
      </c>
      <c r="AJ18" s="6">
        <f t="shared" si="13"/>
        <v>11907.05384893339</v>
      </c>
      <c r="AK18" s="6">
        <f t="shared" si="13"/>
        <v>11966.589118178055</v>
      </c>
    </row>
    <row r="19" spans="1:138" s="5" customFormat="1" x14ac:dyDescent="0.2">
      <c r="A19" s="5" t="s">
        <v>4</v>
      </c>
      <c r="B19" s="6">
        <f t="shared" ref="B19:N19" si="14">+B18+B17</f>
        <v>3438</v>
      </c>
      <c r="C19" s="6">
        <f t="shared" si="14"/>
        <v>4035</v>
      </c>
      <c r="D19" s="6">
        <f t="shared" si="14"/>
        <v>3920</v>
      </c>
      <c r="E19" s="6">
        <f t="shared" si="14"/>
        <v>4124</v>
      </c>
      <c r="F19" s="6">
        <f t="shared" si="14"/>
        <v>3959</v>
      </c>
      <c r="G19" s="6">
        <f t="shared" si="14"/>
        <v>4374</v>
      </c>
      <c r="H19" s="6">
        <f t="shared" si="14"/>
        <v>4116</v>
      </c>
      <c r="I19" s="6">
        <f t="shared" si="14"/>
        <v>4146</v>
      </c>
      <c r="J19" s="6">
        <f t="shared" si="14"/>
        <v>4226</v>
      </c>
      <c r="K19" s="6">
        <f t="shared" si="14"/>
        <v>4088</v>
      </c>
      <c r="L19" s="6">
        <f t="shared" si="14"/>
        <v>4048</v>
      </c>
      <c r="M19" s="6">
        <f t="shared" si="14"/>
        <v>4005</v>
      </c>
      <c r="N19" s="6">
        <f t="shared" si="14"/>
        <v>3887</v>
      </c>
      <c r="O19" s="6">
        <f t="shared" ref="O19" si="15">+O18+O17</f>
        <v>3600</v>
      </c>
      <c r="P19" s="6"/>
      <c r="Q19" s="6">
        <f>+Q18+Q17</f>
        <v>13126</v>
      </c>
      <c r="R19" s="6">
        <f>+R18+R17</f>
        <v>13025</v>
      </c>
      <c r="S19" s="6">
        <f>+S18+S17</f>
        <v>14804</v>
      </c>
      <c r="T19" s="6">
        <f>+T18+T17</f>
        <v>16377</v>
      </c>
      <c r="U19" s="6">
        <f>+U18+U17</f>
        <v>16576</v>
      </c>
      <c r="V19" s="6">
        <f t="shared" ref="V19:AG19" si="16">+V18+V17</f>
        <v>15540</v>
      </c>
      <c r="W19" s="6">
        <f t="shared" si="16"/>
        <v>15360.190799999998</v>
      </c>
      <c r="X19" s="6">
        <f t="shared" si="16"/>
        <v>15457.995107999997</v>
      </c>
      <c r="Y19" s="6">
        <f t="shared" si="16"/>
        <v>15556.498471079994</v>
      </c>
      <c r="Z19" s="6">
        <f t="shared" si="16"/>
        <v>15655.706484850794</v>
      </c>
      <c r="AA19" s="6">
        <f t="shared" si="16"/>
        <v>15755.624793904601</v>
      </c>
      <c r="AB19" s="6">
        <f t="shared" si="16"/>
        <v>15856.259092269971</v>
      </c>
      <c r="AC19" s="6">
        <f t="shared" si="16"/>
        <v>15957.615123871128</v>
      </c>
      <c r="AD19" s="6">
        <f t="shared" si="16"/>
        <v>16059.69868299169</v>
      </c>
      <c r="AE19" s="6">
        <f t="shared" si="16"/>
        <v>16162.515614742864</v>
      </c>
      <c r="AF19" s="6">
        <f t="shared" si="16"/>
        <v>16266.071815536157</v>
      </c>
      <c r="AG19" s="6">
        <f t="shared" si="16"/>
        <v>16370.373233560615</v>
      </c>
      <c r="AH19" s="6">
        <f t="shared" ref="AH19:AK19" si="17">+AH18+AH17</f>
        <v>16475.425869264662</v>
      </c>
      <c r="AI19" s="6">
        <f t="shared" si="17"/>
        <v>16581.235775842586</v>
      </c>
      <c r="AJ19" s="6">
        <f t="shared" si="17"/>
        <v>16687.809059725721</v>
      </c>
      <c r="AK19" s="6">
        <f t="shared" si="17"/>
        <v>16795.151881078309</v>
      </c>
    </row>
    <row r="20" spans="1:138" s="3" customFormat="1" x14ac:dyDescent="0.2">
      <c r="A20" s="3" t="s">
        <v>15</v>
      </c>
      <c r="B20" s="4">
        <f t="shared" ref="B20:H20" si="18">+B16-B19</f>
        <v>1629</v>
      </c>
      <c r="C20" s="4">
        <f t="shared" si="18"/>
        <v>1468</v>
      </c>
      <c r="D20" s="4">
        <f t="shared" si="18"/>
        <v>1695</v>
      </c>
      <c r="E20" s="4">
        <f t="shared" si="18"/>
        <v>1587</v>
      </c>
      <c r="F20" s="4">
        <f t="shared" si="18"/>
        <v>1412</v>
      </c>
      <c r="G20" s="4">
        <f t="shared" si="18"/>
        <v>1221</v>
      </c>
      <c r="H20" s="4">
        <f t="shared" si="18"/>
        <v>1604</v>
      </c>
      <c r="I20" s="4">
        <f>+I16-I19</f>
        <v>1825</v>
      </c>
      <c r="J20" s="4">
        <f>+J16-J19</f>
        <v>1336</v>
      </c>
      <c r="K20" s="4">
        <f>+K16-K19</f>
        <v>1546</v>
      </c>
      <c r="L20" s="4">
        <f>+L16-L19</f>
        <v>1209</v>
      </c>
      <c r="M20" s="4">
        <f>+M16-M19</f>
        <v>1384</v>
      </c>
      <c r="N20" s="4">
        <f>+N16-N19</f>
        <v>788</v>
      </c>
      <c r="O20" s="4">
        <f>+O16-O19</f>
        <v>1240</v>
      </c>
      <c r="P20" s="4"/>
      <c r="Q20" s="4">
        <f t="shared" ref="Q20:V20" si="19">+Q16-Q19</f>
        <v>3115</v>
      </c>
      <c r="R20" s="4">
        <f t="shared" si="19"/>
        <v>6937</v>
      </c>
      <c r="S20" s="4">
        <f t="shared" si="19"/>
        <v>6675</v>
      </c>
      <c r="T20" s="4">
        <f t="shared" si="19"/>
        <v>5915</v>
      </c>
      <c r="U20" s="4">
        <f t="shared" si="19"/>
        <v>6311</v>
      </c>
      <c r="V20" s="4">
        <f t="shared" si="19"/>
        <v>4621</v>
      </c>
      <c r="W20" s="4">
        <f t="shared" ref="W20:AF20" si="20">+W16-W19</f>
        <v>5002.4192000000021</v>
      </c>
      <c r="X20" s="4">
        <f t="shared" si="20"/>
        <v>5108.2409920000082</v>
      </c>
      <c r="Y20" s="4">
        <f t="shared" si="20"/>
        <v>5215.3999899200098</v>
      </c>
      <c r="Z20" s="4">
        <f t="shared" si="20"/>
        <v>5323.9109607592109</v>
      </c>
      <c r="AA20" s="4">
        <f t="shared" si="20"/>
        <v>5433.788826161508</v>
      </c>
      <c r="AB20" s="4">
        <f t="shared" si="20"/>
        <v>5545.0486639968003</v>
      </c>
      <c r="AC20" s="4">
        <f t="shared" si="20"/>
        <v>5657.7057099583144</v>
      </c>
      <c r="AD20" s="4">
        <f t="shared" si="20"/>
        <v>5771.7753591760484</v>
      </c>
      <c r="AE20" s="4">
        <f t="shared" si="20"/>
        <v>5887.2731678465498</v>
      </c>
      <c r="AF20" s="4">
        <f t="shared" si="20"/>
        <v>6004.2148548791483</v>
      </c>
      <c r="AG20" s="4">
        <f>+AG16-AG19</f>
        <v>6122.616303558847</v>
      </c>
      <c r="AH20" s="4">
        <f t="shared" ref="AH20:AK20" si="21">+AH16-AH19</f>
        <v>6242.4935632259949</v>
      </c>
      <c r="AI20" s="4">
        <f t="shared" si="21"/>
        <v>6363.8628509729788</v>
      </c>
      <c r="AJ20" s="4">
        <f t="shared" si="21"/>
        <v>6486.7405533579986</v>
      </c>
      <c r="AK20" s="4">
        <f t="shared" si="21"/>
        <v>6611.1432281362504</v>
      </c>
    </row>
    <row r="21" spans="1:138" s="5" customFormat="1" x14ac:dyDescent="0.2">
      <c r="A21" s="5" t="s">
        <v>5</v>
      </c>
      <c r="B21" s="6">
        <v>-53</v>
      </c>
      <c r="C21" s="6">
        <v>-40</v>
      </c>
      <c r="D21" s="6">
        <v>-13</v>
      </c>
      <c r="E21" s="6">
        <v>-16</v>
      </c>
      <c r="F21" s="6">
        <v>7</v>
      </c>
      <c r="G21" s="6">
        <v>28</v>
      </c>
      <c r="H21" s="6">
        <v>34</v>
      </c>
      <c r="I21" s="6">
        <v>22</v>
      </c>
      <c r="J21" s="6">
        <v>52</v>
      </c>
      <c r="K21" s="6">
        <v>53</v>
      </c>
      <c r="L21" s="6">
        <v>43</v>
      </c>
      <c r="M21" s="6">
        <v>24</v>
      </c>
      <c r="N21" s="6">
        <v>18</v>
      </c>
      <c r="O21" s="6">
        <v>18</v>
      </c>
      <c r="P21" s="6"/>
      <c r="Q21" s="6">
        <v>-89</v>
      </c>
      <c r="R21" s="6">
        <f>-262</f>
        <v>-262</v>
      </c>
      <c r="S21" s="6">
        <v>-205</v>
      </c>
      <c r="T21" s="6">
        <v>6</v>
      </c>
      <c r="U21" s="6">
        <v>-161</v>
      </c>
      <c r="V21" s="40">
        <f>+SUM(L21:O21)</f>
        <v>103</v>
      </c>
      <c r="W21" s="6">
        <f>+V38*$AN$28</f>
        <v>237.56784000000002</v>
      </c>
      <c r="X21" s="6">
        <f>+W38*$AN$28</f>
        <v>363.32752896000005</v>
      </c>
      <c r="Y21" s="6">
        <f>+X38*$AN$28</f>
        <v>494.64517346304024</v>
      </c>
      <c r="Z21" s="6">
        <f>+Y38*$AN$28</f>
        <v>631.6862573842335</v>
      </c>
      <c r="AA21" s="6">
        <f>+Z38*$AN$28</f>
        <v>774.62059061967614</v>
      </c>
      <c r="AB21" s="6">
        <f>+AA38*$AN$28</f>
        <v>923.62241662242445</v>
      </c>
      <c r="AC21" s="6">
        <f>+AB38*$AN$28</f>
        <v>1078.8705225572858</v>
      </c>
      <c r="AD21" s="6">
        <f>+AC38*$AN$28</f>
        <v>1240.5483521376602</v>
      </c>
      <c r="AE21" s="6">
        <f>+AD38*$AN$28</f>
        <v>1408.8441212091893</v>
      </c>
      <c r="AF21" s="6">
        <f>+AE38*$AN$28</f>
        <v>1583.9509361465271</v>
      </c>
      <c r="AG21" s="6">
        <f>+AF38*$AN$28</f>
        <v>1766.0669151311431</v>
      </c>
      <c r="AH21" s="6">
        <f>+AG38*$AN$28</f>
        <v>1955.395312379703</v>
      </c>
      <c r="AI21" s="6">
        <f>+AH38*$AN$28</f>
        <v>2152.1446453942399</v>
      </c>
      <c r="AJ21" s="6">
        <f>+AI38*$AN$28</f>
        <v>2356.528825307053</v>
      </c>
      <c r="AK21" s="6">
        <f>+AJ38*$AN$28</f>
        <v>2568.7672903950142</v>
      </c>
    </row>
    <row r="22" spans="1:138" s="5" customFormat="1" x14ac:dyDescent="0.2">
      <c r="A22" s="5" t="s">
        <v>6</v>
      </c>
      <c r="B22" s="6">
        <f t="shared" ref="B22:O22" si="22">SUM(B20:B21)</f>
        <v>1576</v>
      </c>
      <c r="C22" s="6">
        <f t="shared" si="22"/>
        <v>1428</v>
      </c>
      <c r="D22" s="6">
        <f t="shared" si="22"/>
        <v>1682</v>
      </c>
      <c r="E22" s="6">
        <f t="shared" si="22"/>
        <v>1571</v>
      </c>
      <c r="F22" s="6">
        <f t="shared" si="22"/>
        <v>1419</v>
      </c>
      <c r="G22" s="6">
        <f t="shared" si="22"/>
        <v>1249</v>
      </c>
      <c r="H22" s="6">
        <f t="shared" si="22"/>
        <v>1638</v>
      </c>
      <c r="I22" s="6">
        <f t="shared" si="22"/>
        <v>1847</v>
      </c>
      <c r="J22" s="6">
        <f t="shared" si="22"/>
        <v>1388</v>
      </c>
      <c r="K22" s="6">
        <f t="shared" si="22"/>
        <v>1599</v>
      </c>
      <c r="L22" s="6">
        <f t="shared" si="22"/>
        <v>1252</v>
      </c>
      <c r="M22" s="6">
        <f t="shared" si="22"/>
        <v>1408</v>
      </c>
      <c r="N22" s="6">
        <f t="shared" si="22"/>
        <v>806</v>
      </c>
      <c r="O22" s="6">
        <f t="shared" si="22"/>
        <v>1258</v>
      </c>
      <c r="P22" s="6"/>
      <c r="Q22" s="6">
        <f t="shared" ref="Q22:AK22" si="23">SUM(Q20:Q21)</f>
        <v>3026</v>
      </c>
      <c r="R22" s="6">
        <f t="shared" si="23"/>
        <v>6675</v>
      </c>
      <c r="S22" s="6">
        <f t="shared" si="23"/>
        <v>6470</v>
      </c>
      <c r="T22" s="6">
        <f t="shared" si="23"/>
        <v>5921</v>
      </c>
      <c r="U22" s="6">
        <f t="shared" si="23"/>
        <v>6150</v>
      </c>
      <c r="V22" s="6">
        <f t="shared" si="23"/>
        <v>4724</v>
      </c>
      <c r="W22" s="6">
        <f t="shared" si="23"/>
        <v>5239.9870400000018</v>
      </c>
      <c r="X22" s="6">
        <f t="shared" si="23"/>
        <v>5471.5685209600078</v>
      </c>
      <c r="Y22" s="6">
        <f t="shared" si="23"/>
        <v>5710.0451633830498</v>
      </c>
      <c r="Z22" s="6">
        <f t="shared" si="23"/>
        <v>5955.5972181434445</v>
      </c>
      <c r="AA22" s="6">
        <f t="shared" si="23"/>
        <v>6208.4094167811845</v>
      </c>
      <c r="AB22" s="6">
        <f t="shared" si="23"/>
        <v>6468.671080619225</v>
      </c>
      <c r="AC22" s="6">
        <f t="shared" si="23"/>
        <v>6736.5762325156002</v>
      </c>
      <c r="AD22" s="6">
        <f t="shared" si="23"/>
        <v>7012.3237113137084</v>
      </c>
      <c r="AE22" s="6">
        <f t="shared" si="23"/>
        <v>7296.1172890557391</v>
      </c>
      <c r="AF22" s="6">
        <f t="shared" si="23"/>
        <v>7588.1657910256754</v>
      </c>
      <c r="AG22" s="6">
        <f t="shared" si="23"/>
        <v>7888.6832186899901</v>
      </c>
      <c r="AH22" s="6">
        <f t="shared" si="23"/>
        <v>8197.8888756056986</v>
      </c>
      <c r="AI22" s="6">
        <f t="shared" si="23"/>
        <v>8516.0074963672196</v>
      </c>
      <c r="AJ22" s="6">
        <f t="shared" si="23"/>
        <v>8843.2693786650525</v>
      </c>
      <c r="AK22" s="6">
        <f t="shared" si="23"/>
        <v>9179.9105185312656</v>
      </c>
    </row>
    <row r="23" spans="1:138" s="5" customFormat="1" x14ac:dyDescent="0.2">
      <c r="A23" s="5" t="s">
        <v>7</v>
      </c>
      <c r="B23" s="6">
        <v>274</v>
      </c>
      <c r="C23" s="6">
        <v>-65</v>
      </c>
      <c r="D23" s="6">
        <v>360</v>
      </c>
      <c r="E23" s="6">
        <v>319</v>
      </c>
      <c r="F23" s="6">
        <v>237</v>
      </c>
      <c r="G23" s="6">
        <v>215</v>
      </c>
      <c r="H23" s="6">
        <v>198</v>
      </c>
      <c r="I23" s="6">
        <v>344</v>
      </c>
      <c r="J23" s="6">
        <v>232</v>
      </c>
      <c r="K23" s="6">
        <v>52</v>
      </c>
      <c r="L23" s="6">
        <v>256</v>
      </c>
      <c r="M23" s="6">
        <v>253</v>
      </c>
      <c r="N23" s="6">
        <v>50</v>
      </c>
      <c r="O23" s="6">
        <f>+O22*0.2</f>
        <v>251.60000000000002</v>
      </c>
      <c r="P23" s="6"/>
      <c r="Q23" s="6">
        <v>348</v>
      </c>
      <c r="R23" s="6">
        <v>934</v>
      </c>
      <c r="S23" s="6">
        <v>605</v>
      </c>
      <c r="T23" s="6">
        <v>1131</v>
      </c>
      <c r="U23" s="6">
        <v>1000</v>
      </c>
      <c r="V23" s="40">
        <f>+SUM(L23:O23)</f>
        <v>810.6</v>
      </c>
      <c r="W23" s="6">
        <f t="shared" ref="W23:AK23" si="24">+W22*0.2</f>
        <v>1047.9974080000004</v>
      </c>
      <c r="X23" s="6">
        <f t="shared" si="24"/>
        <v>1094.3137041920015</v>
      </c>
      <c r="Y23" s="6">
        <f t="shared" si="24"/>
        <v>1142.0090326766101</v>
      </c>
      <c r="Z23" s="6">
        <f t="shared" si="24"/>
        <v>1191.1194436286889</v>
      </c>
      <c r="AA23" s="6">
        <f t="shared" si="24"/>
        <v>1241.681883356237</v>
      </c>
      <c r="AB23" s="6">
        <f t="shared" si="24"/>
        <v>1293.734216123845</v>
      </c>
      <c r="AC23" s="6">
        <f t="shared" si="24"/>
        <v>1347.3152465031201</v>
      </c>
      <c r="AD23" s="6">
        <f t="shared" si="24"/>
        <v>1402.4647422627418</v>
      </c>
      <c r="AE23" s="6">
        <f t="shared" si="24"/>
        <v>1459.2234578111479</v>
      </c>
      <c r="AF23" s="6">
        <f t="shared" si="24"/>
        <v>1517.6331582051353</v>
      </c>
      <c r="AG23" s="6">
        <f t="shared" si="24"/>
        <v>1577.7366437379981</v>
      </c>
      <c r="AH23" s="6">
        <f t="shared" si="24"/>
        <v>1639.5777751211399</v>
      </c>
      <c r="AI23" s="6">
        <f t="shared" si="24"/>
        <v>1703.2014992734439</v>
      </c>
      <c r="AJ23" s="6">
        <f t="shared" si="24"/>
        <v>1768.6538757330106</v>
      </c>
      <c r="AK23" s="6">
        <f t="shared" si="24"/>
        <v>1835.9821037062532</v>
      </c>
    </row>
    <row r="24" spans="1:138" s="3" customFormat="1" x14ac:dyDescent="0.2">
      <c r="A24" s="3" t="s">
        <v>8</v>
      </c>
      <c r="B24" s="4">
        <f>+B22-B23</f>
        <v>1302</v>
      </c>
      <c r="C24" s="4">
        <f t="shared" ref="C24:K24" si="25">+C22-C23</f>
        <v>1493</v>
      </c>
      <c r="D24" s="4">
        <f t="shared" si="25"/>
        <v>1322</v>
      </c>
      <c r="E24" s="4">
        <f t="shared" si="25"/>
        <v>1252</v>
      </c>
      <c r="F24" s="4">
        <f t="shared" si="25"/>
        <v>1182</v>
      </c>
      <c r="G24" s="4">
        <f t="shared" si="25"/>
        <v>1034</v>
      </c>
      <c r="H24" s="4">
        <f t="shared" si="25"/>
        <v>1440</v>
      </c>
      <c r="I24" s="4">
        <f t="shared" si="25"/>
        <v>1503</v>
      </c>
      <c r="J24" s="4">
        <f t="shared" si="25"/>
        <v>1156</v>
      </c>
      <c r="K24" s="4">
        <f t="shared" si="25"/>
        <v>1547</v>
      </c>
      <c r="L24" s="4">
        <f t="shared" ref="L24:M24" si="26">+L22-L23</f>
        <v>996</v>
      </c>
      <c r="M24" s="4">
        <f t="shared" si="26"/>
        <v>1155</v>
      </c>
      <c r="N24" s="4">
        <f t="shared" ref="N24:O24" si="27">+N22-N23</f>
        <v>756</v>
      </c>
      <c r="O24" s="4">
        <f t="shared" si="27"/>
        <v>1006.4</v>
      </c>
      <c r="P24" s="4"/>
      <c r="Q24" s="4">
        <f>+Q22-Q23</f>
        <v>2678</v>
      </c>
      <c r="R24" s="4">
        <f t="shared" ref="R24:T24" si="28">+R22-R23</f>
        <v>5741</v>
      </c>
      <c r="S24" s="4">
        <f t="shared" si="28"/>
        <v>5865</v>
      </c>
      <c r="T24" s="4">
        <f t="shared" si="28"/>
        <v>4790</v>
      </c>
      <c r="U24" s="3">
        <f>+U25*U26</f>
        <v>5491.6229999999996</v>
      </c>
      <c r="V24" s="3">
        <f>+V25*V26</f>
        <v>6485.9280000000008</v>
      </c>
      <c r="W24" s="4">
        <f t="shared" ref="W24:AF24" si="29">+W22-W23</f>
        <v>4191.9896320000016</v>
      </c>
      <c r="X24" s="4">
        <f t="shared" si="29"/>
        <v>4377.2548167680061</v>
      </c>
      <c r="Y24" s="4">
        <f t="shared" si="29"/>
        <v>4568.0361307064395</v>
      </c>
      <c r="Z24" s="4">
        <f t="shared" si="29"/>
        <v>4764.4777745147558</v>
      </c>
      <c r="AA24" s="4">
        <f t="shared" si="29"/>
        <v>4966.727533424948</v>
      </c>
      <c r="AB24" s="4">
        <f t="shared" si="29"/>
        <v>5174.9368644953802</v>
      </c>
      <c r="AC24" s="4">
        <f t="shared" si="29"/>
        <v>5389.2609860124803</v>
      </c>
      <c r="AD24" s="4">
        <f t="shared" si="29"/>
        <v>5609.8589690509671</v>
      </c>
      <c r="AE24" s="4">
        <f t="shared" si="29"/>
        <v>5836.8938312445916</v>
      </c>
      <c r="AF24" s="4">
        <f t="shared" si="29"/>
        <v>6070.5326328205401</v>
      </c>
      <c r="AG24" s="4">
        <f>+AG22-AG23</f>
        <v>6310.9465749519923</v>
      </c>
      <c r="AH24" s="4">
        <f t="shared" ref="AH24:AK24" si="30">+AH22-AH23</f>
        <v>6558.3111004845587</v>
      </c>
      <c r="AI24" s="4">
        <f t="shared" si="30"/>
        <v>6812.8059970937757</v>
      </c>
      <c r="AJ24" s="4">
        <f t="shared" si="30"/>
        <v>7074.6155029320416</v>
      </c>
      <c r="AK24" s="4">
        <f t="shared" si="30"/>
        <v>7343.9284148250126</v>
      </c>
      <c r="AL24" s="3">
        <f>+AK24*(1+$AN$29)</f>
        <v>7270.4891306767622</v>
      </c>
      <c r="AM24" s="3">
        <f t="shared" ref="AM24:CX24" si="31">+AL24*(1+$AN$29)</f>
        <v>7197.7842393699948</v>
      </c>
      <c r="AN24" s="3">
        <f t="shared" si="31"/>
        <v>7125.8063969762952</v>
      </c>
      <c r="AO24" s="3">
        <f t="shared" si="31"/>
        <v>7054.5483330065326</v>
      </c>
      <c r="AP24" s="3">
        <f t="shared" si="31"/>
        <v>6984.0028496764671</v>
      </c>
      <c r="AQ24" s="3">
        <f t="shared" si="31"/>
        <v>6914.1628211797024</v>
      </c>
      <c r="AR24" s="3">
        <f t="shared" si="31"/>
        <v>6845.0211929679053</v>
      </c>
      <c r="AS24" s="3">
        <f t="shared" si="31"/>
        <v>6776.5709810382259</v>
      </c>
      <c r="AT24" s="3">
        <f t="shared" si="31"/>
        <v>6708.8052712278431</v>
      </c>
      <c r="AU24" s="3">
        <f t="shared" si="31"/>
        <v>6641.717218515565</v>
      </c>
      <c r="AV24" s="3">
        <f t="shared" si="31"/>
        <v>6575.3000463304097</v>
      </c>
      <c r="AW24" s="3">
        <f t="shared" si="31"/>
        <v>6509.5470458671052</v>
      </c>
      <c r="AX24" s="3">
        <f t="shared" si="31"/>
        <v>6444.4515754084341</v>
      </c>
      <c r="AY24" s="3">
        <f t="shared" si="31"/>
        <v>6380.0070596543501</v>
      </c>
      <c r="AZ24" s="3">
        <f t="shared" si="31"/>
        <v>6316.2069890578068</v>
      </c>
      <c r="BA24" s="3">
        <f t="shared" si="31"/>
        <v>6253.0449191672287</v>
      </c>
      <c r="BB24" s="3">
        <f t="shared" si="31"/>
        <v>6190.5144699755565</v>
      </c>
      <c r="BC24" s="3">
        <f t="shared" si="31"/>
        <v>6128.609325275801</v>
      </c>
      <c r="BD24" s="3">
        <f t="shared" si="31"/>
        <v>6067.3232320230427</v>
      </c>
      <c r="BE24" s="3">
        <f t="shared" si="31"/>
        <v>6006.6499997028122</v>
      </c>
      <c r="BF24" s="3">
        <f t="shared" si="31"/>
        <v>5946.5834997057837</v>
      </c>
      <c r="BG24" s="3">
        <f t="shared" si="31"/>
        <v>5887.1176647087259</v>
      </c>
      <c r="BH24" s="3">
        <f t="shared" si="31"/>
        <v>5828.246488061639</v>
      </c>
      <c r="BI24" s="3">
        <f t="shared" si="31"/>
        <v>5769.9640231810226</v>
      </c>
      <c r="BJ24" s="3">
        <f t="shared" si="31"/>
        <v>5712.2643829492126</v>
      </c>
      <c r="BK24" s="3">
        <f t="shared" si="31"/>
        <v>5655.1417391197201</v>
      </c>
      <c r="BL24" s="3">
        <f t="shared" si="31"/>
        <v>5598.5903217285231</v>
      </c>
      <c r="BM24" s="3">
        <f t="shared" si="31"/>
        <v>5542.6044185112378</v>
      </c>
      <c r="BN24" s="3">
        <f t="shared" si="31"/>
        <v>5487.1783743261258</v>
      </c>
      <c r="BO24" s="3">
        <f t="shared" si="31"/>
        <v>5432.3065905828644</v>
      </c>
      <c r="BP24" s="3">
        <f t="shared" si="31"/>
        <v>5377.9835246770353</v>
      </c>
      <c r="BQ24" s="3">
        <f t="shared" si="31"/>
        <v>5324.2036894302646</v>
      </c>
      <c r="BR24" s="3">
        <f t="shared" si="31"/>
        <v>5270.9616525359615</v>
      </c>
      <c r="BS24" s="3">
        <f t="shared" si="31"/>
        <v>5218.2520360106018</v>
      </c>
      <c r="BT24" s="3">
        <f t="shared" si="31"/>
        <v>5166.0695156504962</v>
      </c>
      <c r="BU24" s="3">
        <f t="shared" si="31"/>
        <v>5114.4088204939908</v>
      </c>
      <c r="BV24" s="3">
        <f t="shared" si="31"/>
        <v>5063.2647322890507</v>
      </c>
      <c r="BW24" s="3">
        <f t="shared" si="31"/>
        <v>5012.6320849661597</v>
      </c>
      <c r="BX24" s="3">
        <f t="shared" si="31"/>
        <v>4962.5057641164976</v>
      </c>
      <c r="BY24" s="3">
        <f t="shared" si="31"/>
        <v>4912.8807064753328</v>
      </c>
      <c r="BZ24" s="3">
        <f t="shared" si="31"/>
        <v>4863.7518994105794</v>
      </c>
      <c r="CA24" s="3">
        <f t="shared" si="31"/>
        <v>4815.114380416474</v>
      </c>
      <c r="CB24" s="3">
        <f t="shared" si="31"/>
        <v>4766.9632366123096</v>
      </c>
      <c r="CC24" s="3">
        <f t="shared" si="31"/>
        <v>4719.2936042461861</v>
      </c>
      <c r="CD24" s="3">
        <f t="shared" si="31"/>
        <v>4672.1006682037241</v>
      </c>
      <c r="CE24" s="3">
        <f t="shared" si="31"/>
        <v>4625.379661521687</v>
      </c>
      <c r="CF24" s="3">
        <f t="shared" si="31"/>
        <v>4579.1258649064703</v>
      </c>
      <c r="CG24" s="3">
        <f t="shared" si="31"/>
        <v>4533.3346062574055</v>
      </c>
      <c r="CH24" s="3">
        <f t="shared" si="31"/>
        <v>4488.001260194831</v>
      </c>
      <c r="CI24" s="3">
        <f t="shared" si="31"/>
        <v>4443.1212475928824</v>
      </c>
      <c r="CJ24" s="3">
        <f t="shared" si="31"/>
        <v>4398.6900351169534</v>
      </c>
      <c r="CK24" s="3">
        <f t="shared" si="31"/>
        <v>4354.7031347657839</v>
      </c>
      <c r="CL24" s="3">
        <f t="shared" si="31"/>
        <v>4311.1561034181259</v>
      </c>
      <c r="CM24" s="3">
        <f t="shared" si="31"/>
        <v>4268.0445423839446</v>
      </c>
      <c r="CN24" s="3">
        <f t="shared" si="31"/>
        <v>4225.3640969601056</v>
      </c>
      <c r="CO24" s="3">
        <f t="shared" si="31"/>
        <v>4183.1104559905043</v>
      </c>
      <c r="CP24" s="3">
        <f t="shared" si="31"/>
        <v>4141.2793514305995</v>
      </c>
      <c r="CQ24" s="3">
        <f t="shared" si="31"/>
        <v>4099.8665579162935</v>
      </c>
      <c r="CR24" s="3">
        <f t="shared" si="31"/>
        <v>4058.8678923371303</v>
      </c>
      <c r="CS24" s="3">
        <f t="shared" si="31"/>
        <v>4018.279213413759</v>
      </c>
      <c r="CT24" s="3">
        <f t="shared" si="31"/>
        <v>3978.0964212796212</v>
      </c>
      <c r="CU24" s="3">
        <f t="shared" si="31"/>
        <v>3938.3154570668248</v>
      </c>
      <c r="CV24" s="3">
        <f t="shared" si="31"/>
        <v>3898.9323024961564</v>
      </c>
      <c r="CW24" s="3">
        <f t="shared" si="31"/>
        <v>3859.9429794711946</v>
      </c>
      <c r="CX24" s="3">
        <f t="shared" si="31"/>
        <v>3821.3435496764828</v>
      </c>
      <c r="CY24" s="3">
        <f t="shared" ref="CY24:EH24" si="32">+CX24*(1+$AN$29)</f>
        <v>3783.130114179718</v>
      </c>
      <c r="CZ24" s="3">
        <f t="shared" si="32"/>
        <v>3745.2988130379208</v>
      </c>
      <c r="DA24" s="3">
        <f t="shared" si="32"/>
        <v>3707.8458249075416</v>
      </c>
      <c r="DB24" s="3">
        <f t="shared" si="32"/>
        <v>3670.767366658466</v>
      </c>
      <c r="DC24" s="3">
        <f t="shared" si="32"/>
        <v>3634.0596929918815</v>
      </c>
      <c r="DD24" s="3">
        <f t="shared" si="32"/>
        <v>3597.7190960619628</v>
      </c>
      <c r="DE24" s="3">
        <f t="shared" si="32"/>
        <v>3561.741905101343</v>
      </c>
      <c r="DF24" s="3">
        <f t="shared" si="32"/>
        <v>3526.1244860503298</v>
      </c>
      <c r="DG24" s="3">
        <f t="shared" si="32"/>
        <v>3490.8632411898266</v>
      </c>
      <c r="DH24" s="3">
        <f t="shared" si="32"/>
        <v>3455.9546087779281</v>
      </c>
      <c r="DI24" s="3">
        <f t="shared" si="32"/>
        <v>3421.3950626901487</v>
      </c>
      <c r="DJ24" s="3">
        <f t="shared" si="32"/>
        <v>3387.1811120632474</v>
      </c>
      <c r="DK24" s="3">
        <f t="shared" si="32"/>
        <v>3353.3093009426148</v>
      </c>
      <c r="DL24" s="3">
        <f t="shared" si="32"/>
        <v>3319.7762079331887</v>
      </c>
      <c r="DM24" s="3">
        <f t="shared" si="32"/>
        <v>3286.5784458538569</v>
      </c>
      <c r="DN24" s="3">
        <f t="shared" si="32"/>
        <v>3253.7126613953183</v>
      </c>
      <c r="DO24" s="3">
        <f t="shared" si="32"/>
        <v>3221.1755347813651</v>
      </c>
      <c r="DP24" s="3">
        <f t="shared" si="32"/>
        <v>3188.9637794335513</v>
      </c>
      <c r="DQ24" s="3">
        <f t="shared" si="32"/>
        <v>3157.0741416392157</v>
      </c>
      <c r="DR24" s="3">
        <f t="shared" si="32"/>
        <v>3125.5034002228235</v>
      </c>
      <c r="DS24" s="3">
        <f t="shared" si="32"/>
        <v>3094.2483662205955</v>
      </c>
      <c r="DT24" s="3">
        <f t="shared" si="32"/>
        <v>3063.3058825583894</v>
      </c>
      <c r="DU24" s="3">
        <f t="shared" si="32"/>
        <v>3032.6728237328057</v>
      </c>
      <c r="DV24" s="3">
        <f t="shared" si="32"/>
        <v>3002.3460954954776</v>
      </c>
      <c r="DW24" s="3">
        <f t="shared" si="32"/>
        <v>2972.3226345405228</v>
      </c>
      <c r="DX24" s="3">
        <f t="shared" si="32"/>
        <v>2942.5994081951176</v>
      </c>
      <c r="DY24" s="3">
        <f t="shared" si="32"/>
        <v>2913.1734141131665</v>
      </c>
      <c r="DZ24" s="3">
        <f t="shared" si="32"/>
        <v>2884.0416799720347</v>
      </c>
      <c r="EA24" s="3">
        <f t="shared" si="32"/>
        <v>2855.2012631723142</v>
      </c>
      <c r="EB24" s="3">
        <f t="shared" si="32"/>
        <v>2826.6492505405909</v>
      </c>
      <c r="EC24" s="3">
        <f t="shared" si="32"/>
        <v>2798.3827580351849</v>
      </c>
      <c r="ED24" s="3">
        <f t="shared" si="32"/>
        <v>2770.3989304548331</v>
      </c>
      <c r="EE24" s="3">
        <f t="shared" si="32"/>
        <v>2742.6949411502846</v>
      </c>
      <c r="EF24" s="3">
        <f t="shared" si="32"/>
        <v>2715.2679917387818</v>
      </c>
      <c r="EG24" s="3">
        <f t="shared" si="32"/>
        <v>2688.1153118213938</v>
      </c>
      <c r="EH24" s="3">
        <f t="shared" si="32"/>
        <v>2661.2341587031797</v>
      </c>
    </row>
    <row r="25" spans="1:138" s="7" customFormat="1" x14ac:dyDescent="0.2">
      <c r="A25" s="7" t="s">
        <v>9</v>
      </c>
      <c r="B25" s="8">
        <f t="shared" ref="B25:L25" si="33">+B24/B26</f>
        <v>0.8083441981747066</v>
      </c>
      <c r="C25" s="8">
        <f t="shared" si="33"/>
        <v>0.93605015673981196</v>
      </c>
      <c r="D25" s="8">
        <f t="shared" si="33"/>
        <v>0.83364863160549885</v>
      </c>
      <c r="E25" s="8">
        <f t="shared" si="33"/>
        <v>0.79623505469346223</v>
      </c>
      <c r="F25" s="8">
        <f t="shared" si="33"/>
        <v>0.75392269422120173</v>
      </c>
      <c r="G25" s="8">
        <f t="shared" si="33"/>
        <v>0.66439632461607656</v>
      </c>
      <c r="H25" s="8">
        <f t="shared" si="33"/>
        <v>0.93306550897427598</v>
      </c>
      <c r="I25" s="8">
        <f t="shared" si="33"/>
        <v>0.98100646171920902</v>
      </c>
      <c r="J25" s="8">
        <f t="shared" si="33"/>
        <v>0.75728791352767766</v>
      </c>
      <c r="K25" s="8">
        <f t="shared" si="33"/>
        <v>1.013429413691451</v>
      </c>
      <c r="L25" s="8">
        <f t="shared" si="33"/>
        <v>0.66311584553928093</v>
      </c>
      <c r="M25" s="8">
        <f t="shared" ref="M25:O25" si="34">+M24/M26</f>
        <v>0.77516778523489938</v>
      </c>
      <c r="N25" s="8">
        <f t="shared" si="34"/>
        <v>0.51060380926651361</v>
      </c>
      <c r="O25" s="8">
        <f t="shared" si="34"/>
        <v>0.68659033943378134</v>
      </c>
      <c r="P25" s="9"/>
      <c r="Q25" s="8">
        <f>+Q24/Q26</f>
        <v>1.6825835637094748</v>
      </c>
      <c r="R25" s="8">
        <f>+R24/R26</f>
        <v>3.5671678886541565</v>
      </c>
      <c r="S25" s="8">
        <f>+S24/S26</f>
        <v>3.6410479264961513</v>
      </c>
      <c r="T25" s="8">
        <f>+T24/T26</f>
        <v>3.0513441202700982</v>
      </c>
      <c r="U25" s="9">
        <v>3.59</v>
      </c>
      <c r="V25" s="9">
        <v>4.24</v>
      </c>
      <c r="W25" s="8">
        <f t="shared" ref="W25:AG25" si="35">+W24/W26</f>
        <v>2.7403998378767089</v>
      </c>
      <c r="X25" s="8">
        <f t="shared" si="35"/>
        <v>2.8615119414055084</v>
      </c>
      <c r="Y25" s="8">
        <f t="shared" si="35"/>
        <v>2.9862300651803877</v>
      </c>
      <c r="Z25" s="8">
        <f t="shared" si="35"/>
        <v>3.114648476508306</v>
      </c>
      <c r="AA25" s="8">
        <f t="shared" si="35"/>
        <v>3.2468637859874145</v>
      </c>
      <c r="AB25" s="8">
        <f t="shared" si="35"/>
        <v>3.3829750045730407</v>
      </c>
      <c r="AC25" s="8">
        <f t="shared" si="35"/>
        <v>3.5230836020216252</v>
      </c>
      <c r="AD25" s="8">
        <f t="shared" si="35"/>
        <v>3.6672935667457454</v>
      </c>
      <c r="AE25" s="8">
        <f t="shared" si="35"/>
        <v>3.8157114671141996</v>
      </c>
      <c r="AF25" s="8">
        <f t="shared" si="35"/>
        <v>3.9684465142319016</v>
      </c>
      <c r="AG25" s="8">
        <f t="shared" si="35"/>
        <v>4.1256106262352041</v>
      </c>
      <c r="AH25" s="8">
        <f t="shared" ref="AH25:AK25" si="36">+AH24/AH26</f>
        <v>4.2873184941390852</v>
      </c>
      <c r="AI25" s="8">
        <f t="shared" si="36"/>
        <v>4.4536876492735669</v>
      </c>
      <c r="AJ25" s="8">
        <f t="shared" si="36"/>
        <v>4.624838532347546</v>
      </c>
      <c r="AK25" s="8">
        <f t="shared" si="36"/>
        <v>4.8008945641792593</v>
      </c>
    </row>
    <row r="26" spans="1:138" s="5" customFormat="1" x14ac:dyDescent="0.2">
      <c r="A26" s="5" t="s">
        <v>10</v>
      </c>
      <c r="B26" s="6">
        <v>1610.7</v>
      </c>
      <c r="C26" s="6">
        <v>1595</v>
      </c>
      <c r="D26" s="6">
        <v>1585.8</v>
      </c>
      <c r="E26" s="6">
        <v>1572.4</v>
      </c>
      <c r="F26" s="6">
        <v>1567.8</v>
      </c>
      <c r="G26" s="6">
        <v>1556.3</v>
      </c>
      <c r="H26" s="6">
        <v>1543.3</v>
      </c>
      <c r="I26" s="6">
        <v>1532.1</v>
      </c>
      <c r="J26" s="16">
        <v>1526.5</v>
      </c>
      <c r="K26" s="16">
        <v>1526.5</v>
      </c>
      <c r="L26" s="16">
        <v>1502</v>
      </c>
      <c r="M26" s="16">
        <v>1490</v>
      </c>
      <c r="N26" s="16">
        <v>1480.6</v>
      </c>
      <c r="O26" s="16">
        <f>+N26*0.99</f>
        <v>1465.7939999999999</v>
      </c>
      <c r="P26" s="6"/>
      <c r="Q26" s="6">
        <v>1591.6</v>
      </c>
      <c r="R26" s="6">
        <v>1609.4</v>
      </c>
      <c r="S26" s="6">
        <v>1610.8</v>
      </c>
      <c r="T26" s="6">
        <v>1569.8</v>
      </c>
      <c r="U26" s="6">
        <v>1529.7</v>
      </c>
      <c r="V26" s="6">
        <v>1529.7</v>
      </c>
      <c r="W26" s="6">
        <v>1529.7</v>
      </c>
      <c r="X26" s="6">
        <v>1529.7</v>
      </c>
      <c r="Y26" s="6">
        <v>1529.7</v>
      </c>
      <c r="Z26" s="6">
        <v>1529.7</v>
      </c>
      <c r="AA26" s="6">
        <v>1529.7</v>
      </c>
      <c r="AB26" s="6">
        <v>1529.7</v>
      </c>
      <c r="AC26" s="6">
        <v>1529.7</v>
      </c>
      <c r="AD26" s="6">
        <v>1529.7</v>
      </c>
      <c r="AE26" s="6">
        <v>1529.7</v>
      </c>
      <c r="AF26" s="6">
        <v>1529.7</v>
      </c>
      <c r="AG26" s="6">
        <v>1529.7</v>
      </c>
      <c r="AH26" s="6">
        <v>1529.7</v>
      </c>
      <c r="AI26" s="6">
        <v>1529.7</v>
      </c>
      <c r="AJ26" s="6">
        <v>1529.7</v>
      </c>
      <c r="AK26" s="6">
        <v>1529.7</v>
      </c>
    </row>
    <row r="27" spans="1:138" s="34" customFormat="1" ht="12.75" customHeight="1" x14ac:dyDescent="0.2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M27" s="36"/>
    </row>
    <row r="28" spans="1:138" x14ac:dyDescent="0.2">
      <c r="A28" s="1" t="s">
        <v>11</v>
      </c>
      <c r="B28" s="11">
        <f t="shared" ref="B28:M28" si="37">+B16/B14</f>
        <v>0.4661024744733695</v>
      </c>
      <c r="C28" s="11">
        <f t="shared" si="37"/>
        <v>0.44981199934608468</v>
      </c>
      <c r="D28" s="11">
        <f t="shared" si="37"/>
        <v>0.44257901789233073</v>
      </c>
      <c r="E28" s="11">
        <f t="shared" si="37"/>
        <v>0.42891475779196397</v>
      </c>
      <c r="F28" s="11">
        <f t="shared" si="37"/>
        <v>0.43349475383373687</v>
      </c>
      <c r="G28" s="11">
        <f t="shared" si="37"/>
        <v>0.43625730994152045</v>
      </c>
      <c r="H28" s="11">
        <f t="shared" si="37"/>
        <v>0.44207434886776414</v>
      </c>
      <c r="I28" s="11">
        <f t="shared" si="37"/>
        <v>0.44599641469973111</v>
      </c>
      <c r="J28" s="11">
        <f t="shared" si="37"/>
        <v>0.44750181028240404</v>
      </c>
      <c r="K28" s="11">
        <f t="shared" si="37"/>
        <v>0.44693003331746789</v>
      </c>
      <c r="L28" s="11">
        <f t="shared" si="37"/>
        <v>0.45361981189058592</v>
      </c>
      <c r="M28" s="11">
        <f t="shared" si="37"/>
        <v>0.43621499109600131</v>
      </c>
      <c r="N28" s="11">
        <f t="shared" ref="N28:O28" si="38">+N16/N14</f>
        <v>0.41485491170467653</v>
      </c>
      <c r="O28" s="11">
        <f t="shared" si="38"/>
        <v>0.44</v>
      </c>
      <c r="P28" s="2"/>
      <c r="Q28" s="11">
        <f t="shared" ref="Q28:AK28" si="39">+Q16/Q14</f>
        <v>0.43421650669732376</v>
      </c>
      <c r="R28" s="11">
        <f t="shared" si="39"/>
        <v>0.44820153576721</v>
      </c>
      <c r="S28" s="11">
        <f t="shared" si="39"/>
        <v>0.45983729394134021</v>
      </c>
      <c r="T28" s="11">
        <f t="shared" si="39"/>
        <v>0.43524610969014194</v>
      </c>
      <c r="U28" s="11">
        <f t="shared" si="39"/>
        <v>0.44560180678322497</v>
      </c>
      <c r="V28" s="11">
        <f t="shared" si="39"/>
        <v>0.43627196399203672</v>
      </c>
      <c r="W28" s="11">
        <f t="shared" si="39"/>
        <v>0.43627196399203672</v>
      </c>
      <c r="X28" s="11">
        <f t="shared" si="39"/>
        <v>0.43627196399203677</v>
      </c>
      <c r="Y28" s="11">
        <f t="shared" si="39"/>
        <v>0.43627196399203672</v>
      </c>
      <c r="Z28" s="11">
        <f t="shared" si="39"/>
        <v>0.43627196399203672</v>
      </c>
      <c r="AA28" s="11">
        <f t="shared" si="39"/>
        <v>0.43627196399203677</v>
      </c>
      <c r="AB28" s="11">
        <f t="shared" si="39"/>
        <v>0.43627196399203677</v>
      </c>
      <c r="AC28" s="11">
        <f t="shared" si="39"/>
        <v>0.43627196399203683</v>
      </c>
      <c r="AD28" s="11">
        <f t="shared" si="39"/>
        <v>0.43627196399203683</v>
      </c>
      <c r="AE28" s="11">
        <f t="shared" si="39"/>
        <v>0.43627196399203683</v>
      </c>
      <c r="AF28" s="11">
        <f t="shared" si="39"/>
        <v>0.43627196399203683</v>
      </c>
      <c r="AG28" s="11">
        <f t="shared" si="39"/>
        <v>0.43627196399203683</v>
      </c>
      <c r="AH28" s="11">
        <f t="shared" si="39"/>
        <v>0.43627196399203683</v>
      </c>
      <c r="AI28" s="11">
        <f t="shared" si="39"/>
        <v>0.43627196399203688</v>
      </c>
      <c r="AJ28" s="11">
        <f t="shared" si="39"/>
        <v>0.43627196399203688</v>
      </c>
      <c r="AK28" s="11">
        <f t="shared" si="39"/>
        <v>0.43627196399203688</v>
      </c>
      <c r="AM28" s="10" t="s">
        <v>43</v>
      </c>
      <c r="AN28" s="12">
        <v>0.03</v>
      </c>
    </row>
    <row r="29" spans="1:138" x14ac:dyDescent="0.2">
      <c r="A29" s="1" t="s">
        <v>40</v>
      </c>
      <c r="B29" s="11">
        <f t="shared" ref="B29:M29" si="40">+B17/B14</f>
        <v>7.8557630392788153E-2</v>
      </c>
      <c r="C29" s="11">
        <f t="shared" si="40"/>
        <v>8.6725519045283639E-2</v>
      </c>
      <c r="D29" s="11">
        <f t="shared" si="40"/>
        <v>7.4328052337037917E-2</v>
      </c>
      <c r="E29" s="11">
        <f t="shared" si="40"/>
        <v>8.2763800225309797E-2</v>
      </c>
      <c r="F29" s="11">
        <f t="shared" si="40"/>
        <v>7.4495560936238908E-2</v>
      </c>
      <c r="G29" s="11">
        <f t="shared" si="40"/>
        <v>8.5146198830409359E-2</v>
      </c>
      <c r="H29" s="11">
        <f t="shared" si="40"/>
        <v>8.2618440374062907E-2</v>
      </c>
      <c r="I29" s="11">
        <f t="shared" si="40"/>
        <v>8.3208843740663285E-2</v>
      </c>
      <c r="J29" s="11">
        <f t="shared" si="40"/>
        <v>8.1342022688872792E-2</v>
      </c>
      <c r="K29" s="11">
        <f t="shared" si="40"/>
        <v>8.6546089163890214E-2</v>
      </c>
      <c r="L29" s="11">
        <f t="shared" si="40"/>
        <v>0.10578997325049616</v>
      </c>
      <c r="M29" s="11">
        <f t="shared" si="40"/>
        <v>9.0820786789703734E-2</v>
      </c>
      <c r="N29" s="11">
        <f t="shared" ref="N29:O29" si="41">+N17/N14</f>
        <v>9.6548052178542912E-2</v>
      </c>
      <c r="O29" s="11">
        <f t="shared" si="41"/>
        <v>9.0909090909090912E-2</v>
      </c>
      <c r="P29" s="2"/>
      <c r="Q29" s="11">
        <f t="shared" ref="Q29:AK29" si="42">+Q17/Q14</f>
        <v>9.6035077400208543E-2</v>
      </c>
      <c r="R29" s="11">
        <f t="shared" si="42"/>
        <v>6.9917822982621586E-2</v>
      </c>
      <c r="S29" s="11">
        <f t="shared" si="42"/>
        <v>8.2423463926354093E-2</v>
      </c>
      <c r="T29" s="11">
        <f t="shared" si="42"/>
        <v>7.9270554698635212E-2</v>
      </c>
      <c r="U29" s="11">
        <f t="shared" si="42"/>
        <v>8.3427436626299603E-2</v>
      </c>
      <c r="V29" s="11">
        <f t="shared" si="42"/>
        <v>9.5992382930840475E-2</v>
      </c>
      <c r="W29" s="11">
        <f t="shared" si="42"/>
        <v>0.09</v>
      </c>
      <c r="X29" s="11">
        <f t="shared" si="42"/>
        <v>0.09</v>
      </c>
      <c r="Y29" s="11">
        <f t="shared" si="42"/>
        <v>0.09</v>
      </c>
      <c r="Z29" s="11">
        <f t="shared" si="42"/>
        <v>0.09</v>
      </c>
      <c r="AA29" s="11">
        <f t="shared" si="42"/>
        <v>0.09</v>
      </c>
      <c r="AB29" s="11">
        <f t="shared" si="42"/>
        <v>9.0000000000000011E-2</v>
      </c>
      <c r="AC29" s="11">
        <f t="shared" si="42"/>
        <v>0.09</v>
      </c>
      <c r="AD29" s="11">
        <f t="shared" si="42"/>
        <v>0.09</v>
      </c>
      <c r="AE29" s="11">
        <f t="shared" si="42"/>
        <v>0.09</v>
      </c>
      <c r="AF29" s="11">
        <f t="shared" si="42"/>
        <v>9.0000000000000011E-2</v>
      </c>
      <c r="AG29" s="11">
        <f t="shared" si="42"/>
        <v>0.09</v>
      </c>
      <c r="AH29" s="11">
        <f t="shared" si="42"/>
        <v>0.09</v>
      </c>
      <c r="AI29" s="11">
        <f t="shared" si="42"/>
        <v>0.09</v>
      </c>
      <c r="AJ29" s="11">
        <f t="shared" si="42"/>
        <v>0.09</v>
      </c>
      <c r="AK29" s="11">
        <f t="shared" si="42"/>
        <v>9.0000000000000011E-2</v>
      </c>
      <c r="AM29" s="37" t="s">
        <v>83</v>
      </c>
      <c r="AN29" s="12">
        <v>-0.01</v>
      </c>
    </row>
    <row r="30" spans="1:138" x14ac:dyDescent="0.2">
      <c r="A30" s="1" t="s">
        <v>41</v>
      </c>
      <c r="B30" s="11">
        <f t="shared" ref="B30:M30" si="43">+B18/B14</f>
        <v>0.23769662404562597</v>
      </c>
      <c r="C30" s="11">
        <f t="shared" si="43"/>
        <v>0.24309301945398071</v>
      </c>
      <c r="D30" s="11">
        <f t="shared" si="43"/>
        <v>0.23464964136517696</v>
      </c>
      <c r="E30" s="11">
        <f t="shared" si="43"/>
        <v>0.22696207285016898</v>
      </c>
      <c r="F30" s="11">
        <f t="shared" si="43"/>
        <v>0.24503631961259079</v>
      </c>
      <c r="G30" s="11">
        <f t="shared" si="43"/>
        <v>0.25590643274853803</v>
      </c>
      <c r="H30" s="11">
        <f t="shared" si="43"/>
        <v>0.23548960506994357</v>
      </c>
      <c r="I30" s="11">
        <f t="shared" si="43"/>
        <v>0.22647146698536003</v>
      </c>
      <c r="J30" s="11">
        <f t="shared" si="43"/>
        <v>0.25866924129053021</v>
      </c>
      <c r="K30" s="11">
        <f t="shared" si="43"/>
        <v>0.23774393146120895</v>
      </c>
      <c r="L30" s="11">
        <f t="shared" si="43"/>
        <v>0.24350677366468201</v>
      </c>
      <c r="M30" s="11">
        <f t="shared" si="43"/>
        <v>0.23336571151044197</v>
      </c>
      <c r="N30" s="11">
        <f t="shared" ref="N30:O30" si="44">+N18/N14</f>
        <v>0.24838051291152718</v>
      </c>
      <c r="O30" s="11">
        <f t="shared" si="44"/>
        <v>0.23636363636363636</v>
      </c>
      <c r="P30" s="2"/>
      <c r="Q30" s="11">
        <f t="shared" ref="Q30:AK30" si="45">+Q18/Q14</f>
        <v>0.25489933962516376</v>
      </c>
      <c r="R30" s="11">
        <f t="shared" si="45"/>
        <v>0.22252907629440027</v>
      </c>
      <c r="S30" s="11">
        <f t="shared" si="45"/>
        <v>0.23451081138942412</v>
      </c>
      <c r="T30" s="11">
        <f t="shared" si="45"/>
        <v>0.24048655719780543</v>
      </c>
      <c r="U30" s="11">
        <f t="shared" si="45"/>
        <v>0.23930142907207663</v>
      </c>
      <c r="V30" s="11">
        <f t="shared" si="45"/>
        <v>0.2402839089414005</v>
      </c>
      <c r="W30" s="11">
        <f t="shared" si="45"/>
        <v>0.23909438463971036</v>
      </c>
      <c r="X30" s="11">
        <f t="shared" si="45"/>
        <v>0.23791074907218698</v>
      </c>
      <c r="Y30" s="11">
        <f t="shared" si="45"/>
        <v>0.23673297308668106</v>
      </c>
      <c r="Z30" s="11">
        <f t="shared" si="45"/>
        <v>0.2355610276753608</v>
      </c>
      <c r="AA30" s="11">
        <f t="shared" si="45"/>
        <v>0.2343948839739976</v>
      </c>
      <c r="AB30" s="11">
        <f t="shared" si="45"/>
        <v>0.23323451326125499</v>
      </c>
      <c r="AC30" s="11">
        <f t="shared" si="45"/>
        <v>0.23207988695798143</v>
      </c>
      <c r="AD30" s="11">
        <f t="shared" si="45"/>
        <v>0.23093097662650622</v>
      </c>
      <c r="AE30" s="11">
        <f t="shared" si="45"/>
        <v>0.22978775396993936</v>
      </c>
      <c r="AF30" s="11">
        <f t="shared" si="45"/>
        <v>0.22865019083147428</v>
      </c>
      <c r="AG30" s="11">
        <f t="shared" si="45"/>
        <v>0.2275182591936947</v>
      </c>
      <c r="AH30" s="11">
        <f t="shared" si="45"/>
        <v>0.22639193117788428</v>
      </c>
      <c r="AI30" s="11">
        <f t="shared" si="45"/>
        <v>0.22527117904334026</v>
      </c>
      <c r="AJ30" s="11">
        <f t="shared" si="45"/>
        <v>0.22415597518669006</v>
      </c>
      <c r="AK30" s="11">
        <f t="shared" si="45"/>
        <v>0.22304629214121136</v>
      </c>
      <c r="AM30" s="37" t="s">
        <v>84</v>
      </c>
      <c r="AN30" s="12">
        <v>0.08</v>
      </c>
    </row>
    <row r="31" spans="1:138" x14ac:dyDescent="0.2">
      <c r="A31" s="1" t="s">
        <v>12</v>
      </c>
      <c r="B31" s="11">
        <f t="shared" ref="B31:M31" si="46">+B20/B14</f>
        <v>0.14984822003495538</v>
      </c>
      <c r="C31" s="11">
        <f t="shared" si="46"/>
        <v>0.11999346084682033</v>
      </c>
      <c r="D31" s="11">
        <f t="shared" si="46"/>
        <v>0.13360132419011586</v>
      </c>
      <c r="E31" s="11">
        <f t="shared" si="46"/>
        <v>0.11918888471648517</v>
      </c>
      <c r="F31" s="11">
        <f t="shared" si="46"/>
        <v>0.11396287328490719</v>
      </c>
      <c r="G31" s="11">
        <f t="shared" si="46"/>
        <v>9.5204678362573097E-2</v>
      </c>
      <c r="H31" s="11">
        <f t="shared" si="46"/>
        <v>0.12396630342375763</v>
      </c>
      <c r="I31" s="11">
        <f t="shared" si="46"/>
        <v>0.1363161039737078</v>
      </c>
      <c r="J31" s="11">
        <f t="shared" si="46"/>
        <v>0.10749054630300105</v>
      </c>
      <c r="K31" s="11">
        <f t="shared" si="46"/>
        <v>0.12264001269236871</v>
      </c>
      <c r="L31" s="11">
        <f t="shared" si="46"/>
        <v>0.10432306497540772</v>
      </c>
      <c r="M31" s="11">
        <f t="shared" si="46"/>
        <v>0.1120284927958556</v>
      </c>
      <c r="N31" s="11">
        <f t="shared" ref="N31:O31" si="47">+N20/N14</f>
        <v>6.9926346614606436E-2</v>
      </c>
      <c r="O31" s="11">
        <f t="shared" si="47"/>
        <v>0.11272727272727273</v>
      </c>
      <c r="P31" s="2"/>
      <c r="Q31" s="11">
        <f t="shared" ref="Q31:AK31" si="48">+Q20/Q14</f>
        <v>8.3282089671951443E-2</v>
      </c>
      <c r="R31" s="11">
        <f t="shared" si="48"/>
        <v>0.15575463649018814</v>
      </c>
      <c r="S31" s="11">
        <f t="shared" si="48"/>
        <v>0.14290301862556198</v>
      </c>
      <c r="T31" s="11">
        <f t="shared" si="48"/>
        <v>0.11548899779370131</v>
      </c>
      <c r="U31" s="11">
        <f t="shared" si="48"/>
        <v>0.12287294108484872</v>
      </c>
      <c r="V31" s="11">
        <f t="shared" si="48"/>
        <v>9.9995672119795723E-2</v>
      </c>
      <c r="W31" s="11">
        <f t="shared" si="48"/>
        <v>0.10717757935232634</v>
      </c>
      <c r="X31" s="11">
        <f t="shared" si="48"/>
        <v>0.10836121491984978</v>
      </c>
      <c r="Y31" s="11">
        <f t="shared" si="48"/>
        <v>0.10953899090535568</v>
      </c>
      <c r="Z31" s="11">
        <f t="shared" si="48"/>
        <v>0.1107109363166759</v>
      </c>
      <c r="AA31" s="11">
        <f t="shared" si="48"/>
        <v>0.11187708001803919</v>
      </c>
      <c r="AB31" s="11">
        <f t="shared" si="48"/>
        <v>0.11303745073078181</v>
      </c>
      <c r="AC31" s="11">
        <f t="shared" si="48"/>
        <v>0.11419207703405543</v>
      </c>
      <c r="AD31" s="11">
        <f t="shared" si="48"/>
        <v>0.11534098736553061</v>
      </c>
      <c r="AE31" s="11">
        <f t="shared" si="48"/>
        <v>0.11648421002209748</v>
      </c>
      <c r="AF31" s="11">
        <f t="shared" si="48"/>
        <v>0.11762177316056252</v>
      </c>
      <c r="AG31" s="11">
        <f t="shared" si="48"/>
        <v>0.11875370479834214</v>
      </c>
      <c r="AH31" s="11">
        <f t="shared" si="48"/>
        <v>0.11988003281415251</v>
      </c>
      <c r="AI31" s="11">
        <f t="shared" si="48"/>
        <v>0.12100078494869662</v>
      </c>
      <c r="AJ31" s="11">
        <f t="shared" si="48"/>
        <v>0.12211598880534683</v>
      </c>
      <c r="AK31" s="11">
        <f t="shared" si="48"/>
        <v>0.12322567185082557</v>
      </c>
      <c r="AM31" s="1" t="s">
        <v>35</v>
      </c>
      <c r="AN31" s="5">
        <f>NPV(AN30,U24:EH24)</f>
        <v>71785.099143687214</v>
      </c>
    </row>
    <row r="32" spans="1:138" x14ac:dyDescent="0.2">
      <c r="A32" s="1" t="s">
        <v>13</v>
      </c>
      <c r="B32" s="11">
        <f t="shared" ref="B32:M32" si="49">+B24/B14</f>
        <v>0.11976819059884096</v>
      </c>
      <c r="C32" s="11">
        <f t="shared" si="49"/>
        <v>0.1220369462154651</v>
      </c>
      <c r="D32" s="11">
        <f t="shared" si="49"/>
        <v>0.10420115078426737</v>
      </c>
      <c r="E32" s="11">
        <f t="shared" si="49"/>
        <v>9.4029290274126931E-2</v>
      </c>
      <c r="F32" s="11">
        <f t="shared" si="49"/>
        <v>9.5399515738498794E-2</v>
      </c>
      <c r="G32" s="11">
        <f t="shared" si="49"/>
        <v>8.062378167641325E-2</v>
      </c>
      <c r="H32" s="11">
        <f t="shared" si="49"/>
        <v>0.11129144447020635</v>
      </c>
      <c r="I32" s="11">
        <f t="shared" si="49"/>
        <v>0.1122647146698536</v>
      </c>
      <c r="J32" s="11">
        <f t="shared" si="49"/>
        <v>9.3008287070560788E-2</v>
      </c>
      <c r="K32" s="11">
        <f t="shared" si="49"/>
        <v>0.12271933999682691</v>
      </c>
      <c r="L32" s="11">
        <f t="shared" si="49"/>
        <v>8.5943567175770133E-2</v>
      </c>
      <c r="M32" s="11">
        <f t="shared" si="49"/>
        <v>9.3491986401165614E-2</v>
      </c>
      <c r="N32" s="11">
        <f t="shared" ref="N32:O32" si="50">+N24/N14</f>
        <v>6.7086698021119884E-2</v>
      </c>
      <c r="O32" s="11">
        <f t="shared" si="50"/>
        <v>9.1490909090909095E-2</v>
      </c>
      <c r="P32" s="2"/>
      <c r="Q32" s="11">
        <f t="shared" ref="Q32:AK32" si="51">+Q24/Q14</f>
        <v>7.1598534876881531E-2</v>
      </c>
      <c r="R32" s="11">
        <f t="shared" si="51"/>
        <v>0.12890116305177601</v>
      </c>
      <c r="S32" s="11">
        <f t="shared" si="51"/>
        <v>0.12556197816313422</v>
      </c>
      <c r="T32" s="11">
        <f t="shared" si="51"/>
        <v>9.3523634730655836E-2</v>
      </c>
      <c r="U32" s="11">
        <f t="shared" si="51"/>
        <v>0.10691996028192048</v>
      </c>
      <c r="V32" s="11">
        <f t="shared" si="51"/>
        <v>0.1403515969877954</v>
      </c>
      <c r="W32" s="11">
        <f t="shared" si="51"/>
        <v>8.9814004677538681E-2</v>
      </c>
      <c r="X32" s="11">
        <f t="shared" si="51"/>
        <v>9.285479105265064E-2</v>
      </c>
      <c r="Y32" s="11">
        <f t="shared" si="51"/>
        <v>9.5942414607486953E-2</v>
      </c>
      <c r="Z32" s="11">
        <f t="shared" si="51"/>
        <v>9.907750136401608E-2</v>
      </c>
      <c r="AA32" s="11">
        <f t="shared" si="51"/>
        <v>0.10226068613662119</v>
      </c>
      <c r="AB32" s="11">
        <f t="shared" si="51"/>
        <v>0.10549261265340638</v>
      </c>
      <c r="AC32" s="11">
        <f t="shared" si="51"/>
        <v>0.1087739336791876</v>
      </c>
      <c r="AD32" s="11">
        <f t="shared" si="51"/>
        <v>0.11210531114019058</v>
      </c>
      <c r="AE32" s="11">
        <f t="shared" si="51"/>
        <v>0.11548741625048063</v>
      </c>
      <c r="AF32" s="11">
        <f t="shared" si="51"/>
        <v>0.11892092964014722</v>
      </c>
      <c r="AG32" s="11">
        <f t="shared" si="51"/>
        <v>0.1224065414852685</v>
      </c>
      <c r="AH32" s="11">
        <f t="shared" si="51"/>
        <v>0.12594495163967967</v>
      </c>
      <c r="AI32" s="11">
        <f t="shared" si="51"/>
        <v>0.12953686976857115</v>
      </c>
      <c r="AJ32" s="11">
        <f t="shared" si="51"/>
        <v>0.13318301548394038</v>
      </c>
      <c r="AK32" s="11">
        <f t="shared" si="51"/>
        <v>0.1368841184819253</v>
      </c>
      <c r="AM32" s="1" t="s">
        <v>36</v>
      </c>
      <c r="AN32" s="5">
        <f>+U38</f>
        <v>1433</v>
      </c>
    </row>
    <row r="33" spans="1:40" x14ac:dyDescent="0.2">
      <c r="A33" s="1" t="s">
        <v>14</v>
      </c>
      <c r="B33" s="11">
        <f t="shared" ref="B33:I33" si="52">+B23/B22</f>
        <v>0.17385786802030456</v>
      </c>
      <c r="C33" s="11">
        <f t="shared" si="52"/>
        <v>-4.5518207282913163E-2</v>
      </c>
      <c r="D33" s="11">
        <f t="shared" si="52"/>
        <v>0.2140309155766944</v>
      </c>
      <c r="E33" s="11">
        <f t="shared" si="52"/>
        <v>0.20305537873965626</v>
      </c>
      <c r="F33" s="11">
        <f t="shared" si="52"/>
        <v>0.16701902748414377</v>
      </c>
      <c r="G33" s="11">
        <f t="shared" si="52"/>
        <v>0.17213771016813451</v>
      </c>
      <c r="H33" s="11">
        <f t="shared" si="52"/>
        <v>0.12087912087912088</v>
      </c>
      <c r="I33" s="11">
        <f t="shared" si="52"/>
        <v>0.18624796968056306</v>
      </c>
      <c r="J33" s="11">
        <f t="shared" ref="J33:K33" si="53">+J23/J22</f>
        <v>0.16714697406340057</v>
      </c>
      <c r="K33" s="11">
        <f t="shared" si="53"/>
        <v>3.2520325203252036E-2</v>
      </c>
      <c r="L33" s="11">
        <f t="shared" ref="L33:M33" si="54">+L23/L22</f>
        <v>0.20447284345047922</v>
      </c>
      <c r="M33" s="11">
        <f t="shared" si="54"/>
        <v>0.1796875</v>
      </c>
      <c r="N33" s="11">
        <f t="shared" ref="N33:O33" si="55">+N23/N22</f>
        <v>6.2034739454094295E-2</v>
      </c>
      <c r="O33" s="11">
        <f t="shared" si="55"/>
        <v>0.2</v>
      </c>
      <c r="P33" s="2"/>
      <c r="Q33" s="11">
        <f>+Q23/Q22</f>
        <v>0.11500330469266358</v>
      </c>
      <c r="R33" s="11">
        <f>+R23/R22</f>
        <v>0.1399250936329588</v>
      </c>
      <c r="S33" s="11">
        <f>+S23/S22</f>
        <v>9.3508500772797529E-2</v>
      </c>
      <c r="T33" s="11">
        <f>+T23/T22</f>
        <v>0.19101503124472219</v>
      </c>
      <c r="U33" s="11">
        <f t="shared" ref="U33:AG33" si="56">+U23/U22</f>
        <v>0.16260162601626016</v>
      </c>
      <c r="V33" s="11">
        <f t="shared" si="56"/>
        <v>0.17159187129551229</v>
      </c>
      <c r="W33" s="11">
        <f t="shared" si="56"/>
        <v>0.2</v>
      </c>
      <c r="X33" s="11">
        <f t="shared" si="56"/>
        <v>0.19999999999999998</v>
      </c>
      <c r="Y33" s="11">
        <f t="shared" si="56"/>
        <v>0.2</v>
      </c>
      <c r="Z33" s="11">
        <f t="shared" si="56"/>
        <v>0.2</v>
      </c>
      <c r="AA33" s="11">
        <f t="shared" si="56"/>
        <v>0.2</v>
      </c>
      <c r="AB33" s="11">
        <f t="shared" si="56"/>
        <v>0.2</v>
      </c>
      <c r="AC33" s="11">
        <f t="shared" si="56"/>
        <v>0.2</v>
      </c>
      <c r="AD33" s="11">
        <f t="shared" si="56"/>
        <v>0.2</v>
      </c>
      <c r="AE33" s="11">
        <f t="shared" si="56"/>
        <v>0.2</v>
      </c>
      <c r="AF33" s="11">
        <f t="shared" si="56"/>
        <v>0.2</v>
      </c>
      <c r="AG33" s="11">
        <f t="shared" si="56"/>
        <v>0.2</v>
      </c>
      <c r="AH33" s="11">
        <f t="shared" ref="AH33:AK33" si="57">+AH23/AH22</f>
        <v>0.2</v>
      </c>
      <c r="AI33" s="11">
        <f t="shared" si="57"/>
        <v>0.2</v>
      </c>
      <c r="AJ33" s="11">
        <f t="shared" si="57"/>
        <v>0.2</v>
      </c>
      <c r="AK33" s="11">
        <f t="shared" si="57"/>
        <v>0.2</v>
      </c>
      <c r="AM33" s="1" t="s">
        <v>37</v>
      </c>
      <c r="AN33" s="5">
        <f>+AN31+AN32</f>
        <v>73218.099143687214</v>
      </c>
    </row>
    <row r="34" spans="1:40" x14ac:dyDescent="0.2">
      <c r="B34" s="2"/>
      <c r="C34" s="2"/>
      <c r="D34" s="2"/>
      <c r="E34" s="2"/>
      <c r="F34" s="2"/>
      <c r="G34" s="2"/>
      <c r="H34" s="2"/>
      <c r="I34" s="11"/>
      <c r="J34" s="11"/>
      <c r="K34" s="11"/>
      <c r="L34" s="11"/>
      <c r="M34" s="11"/>
      <c r="N34" s="11"/>
      <c r="O34" s="1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M34" s="1" t="s">
        <v>38</v>
      </c>
      <c r="AN34" s="7">
        <f>+AN33/Main!L7</f>
        <v>49.451640648174539</v>
      </c>
    </row>
    <row r="35" spans="1:40" s="13" customFormat="1" x14ac:dyDescent="0.2">
      <c r="A35" s="13" t="s">
        <v>16</v>
      </c>
      <c r="B35" s="14"/>
      <c r="C35" s="14"/>
      <c r="D35" s="14"/>
      <c r="E35" s="14"/>
      <c r="F35" s="14">
        <f t="shared" ref="F35:O35" si="58">+F14/B14-1</f>
        <v>0.13972955569864776</v>
      </c>
      <c r="G35" s="14">
        <f t="shared" si="58"/>
        <v>4.8307994114762165E-2</v>
      </c>
      <c r="H35" s="14">
        <f t="shared" si="58"/>
        <v>1.986285173799951E-2</v>
      </c>
      <c r="I35" s="14">
        <f t="shared" si="58"/>
        <v>5.482538490424238E-3</v>
      </c>
      <c r="J35" s="14">
        <f t="shared" si="58"/>
        <v>3.1476997578692156E-3</v>
      </c>
      <c r="K35" s="14">
        <f t="shared" si="58"/>
        <v>-1.7076023391812911E-2</v>
      </c>
      <c r="L35" s="14">
        <f t="shared" si="58"/>
        <v>-0.10433572919081846</v>
      </c>
      <c r="M35" s="14">
        <f t="shared" si="58"/>
        <v>-7.7233343292500756E-2</v>
      </c>
      <c r="N35" s="14">
        <f t="shared" si="58"/>
        <v>-9.3330115053503859E-2</v>
      </c>
      <c r="O35" s="14">
        <f t="shared" si="58"/>
        <v>-0.12739965095986039</v>
      </c>
      <c r="P35" s="14"/>
      <c r="Q35" s="14"/>
      <c r="R35" s="14">
        <f>+R14/Q14-1</f>
        <v>0.19076009945726269</v>
      </c>
      <c r="S35" s="14">
        <f>+S14/R14-1</f>
        <v>4.8767344739323759E-2</v>
      </c>
      <c r="T35" s="14">
        <f>+T14/S14-1</f>
        <v>9.6488974523656568E-2</v>
      </c>
      <c r="U35" s="14">
        <f>+U14/T14-1</f>
        <v>2.8310912392370824E-3</v>
      </c>
      <c r="V35" s="14">
        <f>+V14/U14-1</f>
        <v>-0.10026868112612441</v>
      </c>
      <c r="W35" s="14">
        <f t="shared" ref="W35:AK35" si="59">+W14/V14-1</f>
        <v>1.0000000000000009E-2</v>
      </c>
      <c r="X35" s="14">
        <f t="shared" si="59"/>
        <v>1.0000000000000009E-2</v>
      </c>
      <c r="Y35" s="14">
        <f t="shared" si="59"/>
        <v>1.0000000000000009E-2</v>
      </c>
      <c r="Z35" s="14">
        <f t="shared" si="59"/>
        <v>1.0000000000000009E-2</v>
      </c>
      <c r="AA35" s="14">
        <f t="shared" si="59"/>
        <v>1.0000000000000009E-2</v>
      </c>
      <c r="AB35" s="14">
        <f t="shared" si="59"/>
        <v>1.0000000000000009E-2</v>
      </c>
      <c r="AC35" s="14">
        <f t="shared" si="59"/>
        <v>1.0000000000000009E-2</v>
      </c>
      <c r="AD35" s="14">
        <f t="shared" si="59"/>
        <v>1.0000000000000009E-2</v>
      </c>
      <c r="AE35" s="14">
        <f t="shared" si="59"/>
        <v>1.0000000000000009E-2</v>
      </c>
      <c r="AF35" s="14">
        <f t="shared" si="59"/>
        <v>1.0000000000000009E-2</v>
      </c>
      <c r="AG35" s="14">
        <f t="shared" si="59"/>
        <v>1.0000000000000009E-2</v>
      </c>
      <c r="AH35" s="14">
        <f t="shared" si="59"/>
        <v>1.0000000000000009E-2</v>
      </c>
      <c r="AI35" s="14">
        <f t="shared" si="59"/>
        <v>1.0000000000000009E-2</v>
      </c>
      <c r="AJ35" s="14">
        <f t="shared" si="59"/>
        <v>1.0000000000000009E-2</v>
      </c>
      <c r="AK35" s="14">
        <f t="shared" si="59"/>
        <v>1.0000000000000009E-2</v>
      </c>
      <c r="AM35" s="1" t="s">
        <v>39</v>
      </c>
      <c r="AN35" s="15">
        <f>+Main!L6</f>
        <v>68</v>
      </c>
    </row>
    <row r="36" spans="1:40" s="13" customFormat="1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M36" s="1"/>
      <c r="AN36" s="15"/>
    </row>
    <row r="37" spans="1:40" s="12" customForma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40" s="17" customFormat="1" x14ac:dyDescent="0.2">
      <c r="A38" s="17" t="s">
        <v>36</v>
      </c>
      <c r="B38" s="16">
        <f t="shared" ref="B38:D38" si="60">+B39-B48</f>
        <v>3567</v>
      </c>
      <c r="C38" s="16">
        <f t="shared" si="60"/>
        <v>3567</v>
      </c>
      <c r="D38" s="16">
        <f t="shared" si="60"/>
        <v>2445</v>
      </c>
      <c r="E38" s="16">
        <f t="shared" ref="E38" si="61">+E39-E48</f>
        <v>1190</v>
      </c>
      <c r="F38" s="16">
        <f t="shared" ref="F38:H38" si="62">+F39-F48</f>
        <v>1363</v>
      </c>
      <c r="G38" s="16">
        <f t="shared" si="62"/>
        <v>1742</v>
      </c>
      <c r="H38" s="16">
        <f t="shared" si="62"/>
        <v>-145</v>
      </c>
      <c r="I38" s="16">
        <f>+I39-I48</f>
        <v>991</v>
      </c>
      <c r="J38" s="16">
        <f>+J39-J48</f>
        <v>1637</v>
      </c>
      <c r="K38" s="16">
        <f>+K39-K48</f>
        <v>2673</v>
      </c>
      <c r="L38" s="16">
        <f>+L39-L48</f>
        <v>1284</v>
      </c>
      <c r="M38" s="16">
        <f>+M39-M48</f>
        <v>739</v>
      </c>
      <c r="N38" s="16">
        <f>+N39-N48</f>
        <v>1433</v>
      </c>
      <c r="O38" s="16"/>
      <c r="P38" s="16"/>
      <c r="Q38" s="16"/>
      <c r="R38" s="16"/>
      <c r="S38" s="16"/>
      <c r="T38" s="16"/>
      <c r="U38" s="18">
        <f>+N38</f>
        <v>1433</v>
      </c>
      <c r="V38" s="18">
        <f>+U38+V24</f>
        <v>7918.9280000000008</v>
      </c>
      <c r="W38" s="18">
        <f t="shared" ref="W38:AJ38" si="63">+V38+W24</f>
        <v>12110.917632000002</v>
      </c>
      <c r="X38" s="18">
        <f t="shared" si="63"/>
        <v>16488.172448768008</v>
      </c>
      <c r="Y38" s="18">
        <f t="shared" si="63"/>
        <v>21056.208579474449</v>
      </c>
      <c r="Z38" s="18">
        <f t="shared" si="63"/>
        <v>25820.686353989204</v>
      </c>
      <c r="AA38" s="18">
        <f t="shared" si="63"/>
        <v>30787.41388741415</v>
      </c>
      <c r="AB38" s="18">
        <f t="shared" si="63"/>
        <v>35962.350751909529</v>
      </c>
      <c r="AC38" s="18">
        <f t="shared" si="63"/>
        <v>41351.611737922009</v>
      </c>
      <c r="AD38" s="18">
        <f t="shared" si="63"/>
        <v>46961.470706972977</v>
      </c>
      <c r="AE38" s="18">
        <f t="shared" si="63"/>
        <v>52798.364538217567</v>
      </c>
      <c r="AF38" s="18">
        <f t="shared" si="63"/>
        <v>58868.897171038108</v>
      </c>
      <c r="AG38" s="18">
        <f t="shared" si="63"/>
        <v>65179.843745990103</v>
      </c>
      <c r="AH38" s="18">
        <f t="shared" si="63"/>
        <v>71738.154846474659</v>
      </c>
      <c r="AI38" s="18">
        <f t="shared" si="63"/>
        <v>78550.960843568435</v>
      </c>
      <c r="AJ38" s="18">
        <f t="shared" si="63"/>
        <v>85625.576346500471</v>
      </c>
      <c r="AK38" s="18">
        <f>+AJ38+AK24</f>
        <v>92969.504761325486</v>
      </c>
    </row>
    <row r="39" spans="1:40" s="5" customFormat="1" x14ac:dyDescent="0.2">
      <c r="A39" s="5" t="s">
        <v>22</v>
      </c>
      <c r="B39" s="6">
        <f>8574+4423</f>
        <v>12997</v>
      </c>
      <c r="C39" s="6">
        <f>8574+4423</f>
        <v>12997</v>
      </c>
      <c r="D39" s="6">
        <f>7226+4650</f>
        <v>11876</v>
      </c>
      <c r="E39" s="6">
        <f>6490+4131</f>
        <v>10621</v>
      </c>
      <c r="F39" s="6">
        <f>6955+3847</f>
        <v>10802</v>
      </c>
      <c r="G39" s="6">
        <f>7441+3234</f>
        <v>10675</v>
      </c>
      <c r="H39" s="6">
        <f>6178+2612</f>
        <v>8790</v>
      </c>
      <c r="I39" s="6">
        <f>7919+2008</f>
        <v>9927</v>
      </c>
      <c r="J39" s="6">
        <f>8960+1613</f>
        <v>10573</v>
      </c>
      <c r="K39" s="6">
        <f>9860+1722</f>
        <v>11582</v>
      </c>
      <c r="L39" s="6">
        <f>8485+1809</f>
        <v>10294</v>
      </c>
      <c r="M39" s="6">
        <f>1782+7979</f>
        <v>9761</v>
      </c>
      <c r="N39" s="6">
        <f>8601+1792</f>
        <v>10393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40" s="5" customFormat="1" x14ac:dyDescent="0.2">
      <c r="A40" s="5" t="s">
        <v>25</v>
      </c>
      <c r="B40" s="6">
        <v>4667</v>
      </c>
      <c r="C40" s="6">
        <v>4667</v>
      </c>
      <c r="D40" s="6">
        <v>4960</v>
      </c>
      <c r="E40" s="6">
        <v>5437</v>
      </c>
      <c r="F40" s="6">
        <v>4513</v>
      </c>
      <c r="G40" s="6">
        <v>4131</v>
      </c>
      <c r="H40" s="6">
        <v>4749</v>
      </c>
      <c r="I40" s="6">
        <v>4782</v>
      </c>
      <c r="J40" s="6">
        <v>4526</v>
      </c>
      <c r="K40" s="6">
        <v>4427</v>
      </c>
      <c r="L40" s="6">
        <v>4764</v>
      </c>
      <c r="M40" s="6">
        <v>5302</v>
      </c>
      <c r="N40" s="6">
        <v>4491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40" s="5" customFormat="1" x14ac:dyDescent="0.2">
      <c r="A41" s="5" t="s">
        <v>26</v>
      </c>
      <c r="B41" s="6">
        <v>8420</v>
      </c>
      <c r="C41" s="6">
        <v>8420</v>
      </c>
      <c r="D41" s="6">
        <v>9662</v>
      </c>
      <c r="E41" s="6">
        <v>9326</v>
      </c>
      <c r="F41" s="6">
        <v>8905</v>
      </c>
      <c r="G41" s="6">
        <v>8454</v>
      </c>
      <c r="H41" s="6">
        <v>8698</v>
      </c>
      <c r="I41" s="6">
        <v>7979</v>
      </c>
      <c r="J41" s="6">
        <v>7726</v>
      </c>
      <c r="K41" s="6">
        <v>7519</v>
      </c>
      <c r="L41" s="6">
        <v>8253</v>
      </c>
      <c r="M41" s="6">
        <v>7981</v>
      </c>
      <c r="N41" s="6">
        <v>7539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40" s="5" customFormat="1" x14ac:dyDescent="0.2">
      <c r="A42" s="23" t="s">
        <v>76</v>
      </c>
      <c r="B42" s="6">
        <v>2129</v>
      </c>
      <c r="C42" s="6">
        <v>2129</v>
      </c>
      <c r="D42" s="6">
        <v>2379</v>
      </c>
      <c r="E42" s="6">
        <v>2063</v>
      </c>
      <c r="F42" s="6">
        <v>1815</v>
      </c>
      <c r="G42" s="6">
        <v>1942</v>
      </c>
      <c r="H42" s="6">
        <v>2013</v>
      </c>
      <c r="I42" s="6">
        <v>1943</v>
      </c>
      <c r="J42" s="6">
        <v>1928</v>
      </c>
      <c r="K42" s="6">
        <v>1854</v>
      </c>
      <c r="L42" s="6">
        <v>1729</v>
      </c>
      <c r="M42" s="6">
        <v>1936</v>
      </c>
      <c r="N42" s="6">
        <v>2186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40" s="5" customFormat="1" x14ac:dyDescent="0.2">
      <c r="A43" s="5" t="s">
        <v>27</v>
      </c>
      <c r="B43" s="6">
        <v>4791</v>
      </c>
      <c r="C43" s="6">
        <v>4791</v>
      </c>
      <c r="D43" s="6">
        <v>4778</v>
      </c>
      <c r="E43" s="6">
        <v>4854</v>
      </c>
      <c r="F43" s="6">
        <v>4939</v>
      </c>
      <c r="G43" s="6">
        <v>5081</v>
      </c>
      <c r="H43" s="6">
        <v>5109</v>
      </c>
      <c r="I43" s="6">
        <v>5153</v>
      </c>
      <c r="J43" s="6">
        <v>5082</v>
      </c>
      <c r="K43" s="6">
        <v>5000</v>
      </c>
      <c r="L43" s="6">
        <v>4948</v>
      </c>
      <c r="M43" s="6">
        <v>4857</v>
      </c>
      <c r="N43" s="6">
        <v>4717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40" s="5" customFormat="1" x14ac:dyDescent="0.2">
      <c r="A44" s="5" t="s">
        <v>28</v>
      </c>
      <c r="B44" s="6">
        <v>2926</v>
      </c>
      <c r="C44" s="6">
        <v>2926</v>
      </c>
      <c r="D44" s="6">
        <v>2880</v>
      </c>
      <c r="E44" s="6">
        <v>2809</v>
      </c>
      <c r="F44" s="6">
        <v>2834</v>
      </c>
      <c r="G44" s="6">
        <v>2923</v>
      </c>
      <c r="H44" s="6">
        <v>2939</v>
      </c>
      <c r="I44" s="6">
        <v>2943</v>
      </c>
      <c r="J44" s="6">
        <v>2856</v>
      </c>
      <c r="K44" s="6">
        <v>2718</v>
      </c>
      <c r="L44" s="6">
        <v>2792</v>
      </c>
      <c r="M44" s="6">
        <v>2736</v>
      </c>
      <c r="N44" s="6">
        <v>2614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40" s="5" customFormat="1" x14ac:dyDescent="0.2">
      <c r="A45" s="5" t="s">
        <v>44</v>
      </c>
      <c r="B45" s="6">
        <f>286+284</f>
        <v>570</v>
      </c>
      <c r="C45" s="6">
        <f>286+284</f>
        <v>570</v>
      </c>
      <c r="D45" s="6">
        <f>283+282</f>
        <v>565</v>
      </c>
      <c r="E45" s="6">
        <f>280+281</f>
        <v>561</v>
      </c>
      <c r="F45" s="6">
        <f>277+281</f>
        <v>558</v>
      </c>
      <c r="G45" s="6">
        <f>281+274</f>
        <v>555</v>
      </c>
      <c r="H45" s="6">
        <f>272+281</f>
        <v>553</v>
      </c>
      <c r="I45" s="6">
        <f>269+281</f>
        <v>550</v>
      </c>
      <c r="J45" s="6">
        <f>259+240</f>
        <v>499</v>
      </c>
      <c r="K45" s="6">
        <f>259+240</f>
        <v>499</v>
      </c>
      <c r="L45" s="6">
        <f>259+240</f>
        <v>499</v>
      </c>
      <c r="M45" s="6">
        <f>259+240</f>
        <v>499</v>
      </c>
      <c r="N45" s="6">
        <f>239+259</f>
        <v>498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40" s="5" customFormat="1" x14ac:dyDescent="0.2">
      <c r="A46" s="20" t="s">
        <v>70</v>
      </c>
      <c r="B46" s="6">
        <v>3821</v>
      </c>
      <c r="C46" s="6">
        <v>3821</v>
      </c>
      <c r="D46" s="6">
        <v>3988</v>
      </c>
      <c r="E46" s="6">
        <v>3976</v>
      </c>
      <c r="F46" s="6">
        <v>3928</v>
      </c>
      <c r="G46" s="6">
        <v>3770</v>
      </c>
      <c r="H46" s="6">
        <v>3935</v>
      </c>
      <c r="I46" s="6">
        <v>3926</v>
      </c>
      <c r="J46" s="6">
        <v>4166</v>
      </c>
      <c r="K46" s="6">
        <v>4511</v>
      </c>
      <c r="L46" s="6">
        <v>4588</v>
      </c>
      <c r="M46" s="6">
        <v>4887</v>
      </c>
      <c r="N46" s="6">
        <v>5355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40" s="3" customFormat="1" x14ac:dyDescent="0.2">
      <c r="A47" s="3" t="s">
        <v>29</v>
      </c>
      <c r="B47" s="4">
        <f t="shared" ref="B47:K47" si="64">SUM(B39:B46)</f>
        <v>40321</v>
      </c>
      <c r="C47" s="4">
        <f t="shared" si="64"/>
        <v>40321</v>
      </c>
      <c r="D47" s="4">
        <f t="shared" si="64"/>
        <v>41088</v>
      </c>
      <c r="E47" s="4">
        <f t="shared" si="64"/>
        <v>39647</v>
      </c>
      <c r="F47" s="4">
        <f t="shared" si="64"/>
        <v>38294</v>
      </c>
      <c r="G47" s="4">
        <f t="shared" si="64"/>
        <v>37531</v>
      </c>
      <c r="H47" s="4">
        <f t="shared" si="64"/>
        <v>36786</v>
      </c>
      <c r="I47" s="4">
        <f t="shared" si="64"/>
        <v>37203</v>
      </c>
      <c r="J47" s="4">
        <f t="shared" si="64"/>
        <v>37356</v>
      </c>
      <c r="K47" s="4">
        <f t="shared" si="64"/>
        <v>38110</v>
      </c>
      <c r="L47" s="4">
        <f t="shared" ref="L47:N47" si="65">SUM(L39:L46)</f>
        <v>37867</v>
      </c>
      <c r="M47" s="4">
        <f t="shared" si="65"/>
        <v>37959</v>
      </c>
      <c r="N47" s="4">
        <f>SUM(N39:N46)</f>
        <v>37793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40" s="5" customFormat="1" x14ac:dyDescent="0.2">
      <c r="A48" s="5" t="s">
        <v>23</v>
      </c>
      <c r="B48" s="6">
        <f>500+10+8920</f>
        <v>9430</v>
      </c>
      <c r="C48" s="6">
        <f>500+10+8920</f>
        <v>9430</v>
      </c>
      <c r="D48" s="6">
        <f>500+9+8922</f>
        <v>9431</v>
      </c>
      <c r="E48" s="6">
        <f>500+7+8924</f>
        <v>9431</v>
      </c>
      <c r="F48" s="6">
        <f>500+8925+14</f>
        <v>9439</v>
      </c>
      <c r="G48" s="6">
        <f>8927+6</f>
        <v>8933</v>
      </c>
      <c r="H48" s="6">
        <f>8929+6</f>
        <v>8935</v>
      </c>
      <c r="I48" s="6">
        <f>6+8930</f>
        <v>8936</v>
      </c>
      <c r="J48" s="6">
        <f>6+8930</f>
        <v>8936</v>
      </c>
      <c r="K48" s="6">
        <f>1000+6+7903</f>
        <v>8909</v>
      </c>
      <c r="L48" s="6">
        <f>1000+12+7998</f>
        <v>9010</v>
      </c>
      <c r="M48" s="6">
        <f>1000+49+7973</f>
        <v>9022</v>
      </c>
      <c r="N48" s="6">
        <f>1000+4+7956</f>
        <v>8960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s="5" customFormat="1" x14ac:dyDescent="0.2">
      <c r="A49" s="5" t="s">
        <v>30</v>
      </c>
      <c r="B49" s="6">
        <v>3358</v>
      </c>
      <c r="C49" s="6">
        <v>3358</v>
      </c>
      <c r="D49" s="6">
        <v>3371</v>
      </c>
      <c r="E49" s="6">
        <v>2810</v>
      </c>
      <c r="F49" s="6">
        <v>2675</v>
      </c>
      <c r="G49" s="6">
        <v>2862</v>
      </c>
      <c r="H49" s="6">
        <v>2738</v>
      </c>
      <c r="I49" s="6">
        <v>2709</v>
      </c>
      <c r="J49" s="6">
        <v>2340</v>
      </c>
      <c r="K49" s="6">
        <v>2851</v>
      </c>
      <c r="L49" s="6">
        <v>3357</v>
      </c>
      <c r="M49" s="6">
        <v>3255</v>
      </c>
      <c r="N49" s="6">
        <v>3106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s="5" customFormat="1" x14ac:dyDescent="0.2">
      <c r="A50" s="5" t="s">
        <v>28</v>
      </c>
      <c r="B50" s="6">
        <f>420+2777</f>
        <v>3197</v>
      </c>
      <c r="C50" s="6">
        <f>420+2777</f>
        <v>3197</v>
      </c>
      <c r="D50" s="6">
        <f>424+2736</f>
        <v>3160</v>
      </c>
      <c r="E50" s="6">
        <f>426+2668</f>
        <v>3094</v>
      </c>
      <c r="F50" s="6">
        <f>435+2692</f>
        <v>3127</v>
      </c>
      <c r="G50" s="6">
        <f>425+2786</f>
        <v>3211</v>
      </c>
      <c r="H50" s="6">
        <f>435+2807</f>
        <v>3242</v>
      </c>
      <c r="I50" s="6">
        <f>456+2785</f>
        <v>3241</v>
      </c>
      <c r="J50" s="6">
        <f>474+2691</f>
        <v>3165</v>
      </c>
      <c r="K50" s="6">
        <f>477+2566</f>
        <v>3043</v>
      </c>
      <c r="L50" s="6">
        <f>491+2625</f>
        <v>3116</v>
      </c>
      <c r="M50" s="6">
        <f>481+2562</f>
        <v>3043</v>
      </c>
      <c r="N50" s="6">
        <f>474+2477</f>
        <v>2951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s="5" customFormat="1" x14ac:dyDescent="0.2">
      <c r="A51" s="5" t="s">
        <v>31</v>
      </c>
      <c r="B51" s="6">
        <v>6220</v>
      </c>
      <c r="C51" s="6">
        <v>6220</v>
      </c>
      <c r="D51" s="6">
        <v>6277</v>
      </c>
      <c r="E51" s="6">
        <v>6020</v>
      </c>
      <c r="F51" s="6">
        <v>5594</v>
      </c>
      <c r="G51" s="6">
        <v>5723</v>
      </c>
      <c r="H51" s="6">
        <v>4987</v>
      </c>
      <c r="I51" s="6">
        <v>5470</v>
      </c>
      <c r="J51" s="6">
        <v>5818</v>
      </c>
      <c r="K51" s="6">
        <v>5725</v>
      </c>
      <c r="L51" s="6">
        <v>5075</v>
      </c>
      <c r="M51" s="6">
        <v>5694</v>
      </c>
      <c r="N51" s="6">
        <v>5905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s="5" customFormat="1" x14ac:dyDescent="0.2">
      <c r="A52" s="5" t="s">
        <v>7</v>
      </c>
      <c r="B52" s="6">
        <v>222</v>
      </c>
      <c r="C52" s="6">
        <v>222</v>
      </c>
      <c r="D52" s="6">
        <v>338</v>
      </c>
      <c r="E52" s="6">
        <v>436</v>
      </c>
      <c r="F52" s="6">
        <v>330</v>
      </c>
      <c r="G52" s="6">
        <v>240</v>
      </c>
      <c r="H52" s="6">
        <v>295</v>
      </c>
      <c r="I52" s="6">
        <v>358</v>
      </c>
      <c r="J52" s="6">
        <v>391</v>
      </c>
      <c r="K52" s="6">
        <v>534</v>
      </c>
      <c r="L52" s="6">
        <v>693</v>
      </c>
      <c r="M52" s="6">
        <v>767</v>
      </c>
      <c r="N52" s="6">
        <v>734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s="5" customFormat="1" x14ac:dyDescent="0.2">
      <c r="A53" s="20" t="s">
        <v>70</v>
      </c>
      <c r="B53" s="6">
        <v>2613</v>
      </c>
      <c r="C53" s="6">
        <v>2613</v>
      </c>
      <c r="D53" s="6">
        <v>2689</v>
      </c>
      <c r="E53" s="6">
        <v>2584</v>
      </c>
      <c r="F53" s="6">
        <v>2598</v>
      </c>
      <c r="G53" s="6">
        <v>2558</v>
      </c>
      <c r="H53" s="6">
        <v>2618</v>
      </c>
      <c r="I53" s="6">
        <v>2343</v>
      </c>
      <c r="J53" s="6">
        <v>2480</v>
      </c>
      <c r="K53" s="6">
        <v>2618</v>
      </c>
      <c r="L53" s="6">
        <v>2672</v>
      </c>
      <c r="M53" s="6">
        <v>2141</v>
      </c>
      <c r="N53" s="6">
        <v>2130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s="3" customFormat="1" x14ac:dyDescent="0.2">
      <c r="A54" s="3" t="s">
        <v>32</v>
      </c>
      <c r="B54" s="4">
        <f t="shared" ref="B54:K54" si="66">SUM(B48:B53)</f>
        <v>25040</v>
      </c>
      <c r="C54" s="4">
        <f t="shared" si="66"/>
        <v>25040</v>
      </c>
      <c r="D54" s="4">
        <f t="shared" si="66"/>
        <v>25266</v>
      </c>
      <c r="E54" s="4">
        <f t="shared" si="66"/>
        <v>24375</v>
      </c>
      <c r="F54" s="4">
        <f t="shared" si="66"/>
        <v>23763</v>
      </c>
      <c r="G54" s="4">
        <f t="shared" si="66"/>
        <v>23527</v>
      </c>
      <c r="H54" s="4">
        <f t="shared" si="66"/>
        <v>22815</v>
      </c>
      <c r="I54" s="4">
        <f t="shared" si="66"/>
        <v>23057</v>
      </c>
      <c r="J54" s="4">
        <f t="shared" si="66"/>
        <v>23130</v>
      </c>
      <c r="K54" s="4">
        <f t="shared" si="66"/>
        <v>23680</v>
      </c>
      <c r="L54" s="4">
        <f t="shared" ref="L54:N54" si="67">SUM(L48:L53)</f>
        <v>23923</v>
      </c>
      <c r="M54" s="4">
        <f t="shared" si="67"/>
        <v>23922</v>
      </c>
      <c r="N54" s="4">
        <f t="shared" si="67"/>
        <v>23786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s="5" customFormat="1" x14ac:dyDescent="0.2">
      <c r="A55" s="5" t="s">
        <v>33</v>
      </c>
      <c r="B55" s="6">
        <f t="shared" ref="B55:J55" si="68">+B47-B54</f>
        <v>15281</v>
      </c>
      <c r="C55" s="6">
        <f t="shared" si="68"/>
        <v>15281</v>
      </c>
      <c r="D55" s="6">
        <f t="shared" si="68"/>
        <v>15822</v>
      </c>
      <c r="E55" s="6">
        <f t="shared" si="68"/>
        <v>15272</v>
      </c>
      <c r="F55" s="6">
        <f t="shared" si="68"/>
        <v>14531</v>
      </c>
      <c r="G55" s="6">
        <f t="shared" si="68"/>
        <v>14004</v>
      </c>
      <c r="H55" s="6">
        <f t="shared" si="68"/>
        <v>13971</v>
      </c>
      <c r="I55" s="6">
        <f t="shared" si="68"/>
        <v>14146</v>
      </c>
      <c r="J55" s="6">
        <f t="shared" si="68"/>
        <v>14226</v>
      </c>
      <c r="K55" s="6">
        <v>14430</v>
      </c>
      <c r="L55" s="6">
        <v>13944</v>
      </c>
      <c r="M55" s="6">
        <v>14037</v>
      </c>
      <c r="N55" s="6">
        <v>14007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s="5" customFormat="1" x14ac:dyDescent="0.2">
      <c r="A56" s="5" t="s">
        <v>34</v>
      </c>
      <c r="B56" s="6">
        <f t="shared" ref="B56:K56" si="69">+B55+B54</f>
        <v>40321</v>
      </c>
      <c r="C56" s="6">
        <f t="shared" si="69"/>
        <v>40321</v>
      </c>
      <c r="D56" s="6">
        <f t="shared" si="69"/>
        <v>41088</v>
      </c>
      <c r="E56" s="6">
        <f t="shared" si="69"/>
        <v>39647</v>
      </c>
      <c r="F56" s="6">
        <f t="shared" si="69"/>
        <v>38294</v>
      </c>
      <c r="G56" s="6">
        <f t="shared" si="69"/>
        <v>37531</v>
      </c>
      <c r="H56" s="6">
        <f t="shared" si="69"/>
        <v>36786</v>
      </c>
      <c r="I56" s="6">
        <f t="shared" si="69"/>
        <v>37203</v>
      </c>
      <c r="J56" s="6">
        <f t="shared" si="69"/>
        <v>37356</v>
      </c>
      <c r="K56" s="6">
        <f>+K55+K54</f>
        <v>38110</v>
      </c>
      <c r="L56" s="6">
        <f>+L55+L54</f>
        <v>37867</v>
      </c>
      <c r="M56" s="6">
        <f>+M55+M54</f>
        <v>37959</v>
      </c>
      <c r="N56" s="6">
        <f>+N55+N54</f>
        <v>37793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s="5" customFormat="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s="5" customFormat="1" x14ac:dyDescent="0.2">
      <c r="A58" s="23" t="s">
        <v>74</v>
      </c>
      <c r="B58" s="6"/>
      <c r="C58" s="6"/>
      <c r="D58" s="6"/>
      <c r="E58" s="6">
        <f t="shared" ref="E58:I58" si="70">+SUM(B24:E24)</f>
        <v>5369</v>
      </c>
      <c r="F58" s="6">
        <f t="shared" si="70"/>
        <v>5249</v>
      </c>
      <c r="G58" s="6">
        <f t="shared" si="70"/>
        <v>4790</v>
      </c>
      <c r="H58" s="6">
        <f t="shared" si="70"/>
        <v>4908</v>
      </c>
      <c r="I58" s="6">
        <f t="shared" si="70"/>
        <v>5159</v>
      </c>
      <c r="J58" s="6">
        <f>+SUM(G24:J24)</f>
        <v>5133</v>
      </c>
      <c r="K58" s="6">
        <f t="shared" ref="K58:L58" si="71">+SUM(H24:K24)</f>
        <v>5646</v>
      </c>
      <c r="L58" s="6">
        <f t="shared" si="71"/>
        <v>5202</v>
      </c>
      <c r="M58" s="6">
        <f>+SUM(J24:M24)</f>
        <v>4854</v>
      </c>
      <c r="N58" s="6">
        <f>+SUM(K24:N24)</f>
        <v>4454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s="29" customFormat="1" x14ac:dyDescent="0.2">
      <c r="A59" s="27" t="s">
        <v>75</v>
      </c>
      <c r="B59" s="28"/>
      <c r="C59" s="28"/>
      <c r="D59" s="28"/>
      <c r="E59" s="28">
        <f t="shared" ref="E59:I59" si="72">+E58/(E40+E41+E42+E43+E44+E46)</f>
        <v>0.18861760056209381</v>
      </c>
      <c r="F59" s="28">
        <f t="shared" si="72"/>
        <v>0.1948837900051979</v>
      </c>
      <c r="G59" s="28">
        <f t="shared" si="72"/>
        <v>0.18212235276225239</v>
      </c>
      <c r="H59" s="28">
        <f t="shared" si="72"/>
        <v>0.17884342090879277</v>
      </c>
      <c r="I59" s="28">
        <f t="shared" si="72"/>
        <v>0.19303300157150341</v>
      </c>
      <c r="J59" s="28">
        <f>+J58/(J40+J41+J42+J43+J44+J46)</f>
        <v>0.19528991021153552</v>
      </c>
      <c r="K59" s="28">
        <f t="shared" ref="K59:L59" si="73">+K58/(K40+K41+K42+K43+K44+K46)</f>
        <v>0.21691190595105458</v>
      </c>
      <c r="L59" s="28">
        <f t="shared" si="73"/>
        <v>0.19214006057472113</v>
      </c>
      <c r="M59" s="28">
        <f>+M58/(M40+M41+M42+M43+M44+M46)</f>
        <v>0.17524098342900465</v>
      </c>
      <c r="N59" s="28">
        <f>+N58/(N40+N41+N42+N43+N44+N46)</f>
        <v>0.16556389859490001</v>
      </c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</row>
    <row r="61" spans="1:33" x14ac:dyDescent="0.2">
      <c r="A61" s="1" t="s">
        <v>47</v>
      </c>
      <c r="Q61" s="5">
        <f>+Q24</f>
        <v>2678</v>
      </c>
      <c r="R61" s="5">
        <f>+R24</f>
        <v>5741</v>
      </c>
      <c r="S61" s="5">
        <f>+S24</f>
        <v>5865</v>
      </c>
      <c r="T61" s="5">
        <f>+T24</f>
        <v>4790</v>
      </c>
    </row>
    <row r="62" spans="1:33" s="5" customFormat="1" x14ac:dyDescent="0.2">
      <c r="A62" s="5" t="s">
        <v>46</v>
      </c>
      <c r="Q62" s="5">
        <v>2539</v>
      </c>
      <c r="R62" s="5">
        <v>5727</v>
      </c>
      <c r="S62" s="5">
        <v>6046</v>
      </c>
      <c r="T62" s="5">
        <v>5070</v>
      </c>
    </row>
    <row r="63" spans="1:33" s="5" customFormat="1" x14ac:dyDescent="0.2">
      <c r="A63" s="5" t="s">
        <v>48</v>
      </c>
      <c r="Q63" s="5">
        <f>721+398</f>
        <v>1119</v>
      </c>
      <c r="R63" s="5">
        <f>744+53</f>
        <v>797</v>
      </c>
      <c r="S63" s="5">
        <f>717+123</f>
        <v>840</v>
      </c>
      <c r="T63" s="5">
        <f>703+156</f>
        <v>859</v>
      </c>
    </row>
    <row r="64" spans="1:33" s="5" customFormat="1" x14ac:dyDescent="0.2">
      <c r="A64" s="5" t="s">
        <v>45</v>
      </c>
      <c r="Q64" s="5">
        <v>-380</v>
      </c>
      <c r="R64" s="5">
        <v>-385</v>
      </c>
      <c r="S64" s="5">
        <v>-650</v>
      </c>
      <c r="T64" s="5">
        <v>-117</v>
      </c>
    </row>
    <row r="65" spans="1:20" s="5" customFormat="1" x14ac:dyDescent="0.2">
      <c r="A65" s="5" t="s">
        <v>49</v>
      </c>
      <c r="Q65" s="5">
        <v>429</v>
      </c>
      <c r="R65" s="5">
        <v>611</v>
      </c>
      <c r="S65" s="5">
        <v>638</v>
      </c>
      <c r="T65" s="5">
        <v>755</v>
      </c>
    </row>
    <row r="66" spans="1:20" s="5" customFormat="1" x14ac:dyDescent="0.2">
      <c r="A66" s="5" t="s">
        <v>50</v>
      </c>
      <c r="Q66" s="5">
        <v>23</v>
      </c>
      <c r="R66" s="5">
        <v>-138</v>
      </c>
      <c r="S66" s="5">
        <v>-26</v>
      </c>
      <c r="T66" s="5">
        <v>-213</v>
      </c>
    </row>
    <row r="67" spans="1:20" s="5" customFormat="1" x14ac:dyDescent="0.2">
      <c r="A67" s="5" t="s">
        <v>25</v>
      </c>
      <c r="Q67" s="5">
        <v>1239</v>
      </c>
      <c r="R67" s="5">
        <v>-1606</v>
      </c>
      <c r="S67" s="5">
        <v>-504</v>
      </c>
      <c r="T67" s="5">
        <v>489</v>
      </c>
    </row>
    <row r="68" spans="1:20" s="5" customFormat="1" x14ac:dyDescent="0.2">
      <c r="A68" s="5" t="s">
        <v>26</v>
      </c>
      <c r="Q68" s="5">
        <v>-1854</v>
      </c>
      <c r="R68" s="5">
        <v>507</v>
      </c>
      <c r="S68" s="5">
        <v>-1676</v>
      </c>
      <c r="T68" s="5">
        <v>-133</v>
      </c>
    </row>
    <row r="69" spans="1:20" s="5" customFormat="1" x14ac:dyDescent="0.2">
      <c r="A69" s="5" t="s">
        <v>63</v>
      </c>
      <c r="Q69" s="5">
        <v>-654</v>
      </c>
      <c r="R69" s="5">
        <v>-182</v>
      </c>
      <c r="S69" s="5">
        <v>-845</v>
      </c>
      <c r="T69" s="5">
        <v>-644</v>
      </c>
    </row>
    <row r="70" spans="1:20" s="5" customFormat="1" x14ac:dyDescent="0.2">
      <c r="A70" s="5" t="s">
        <v>30</v>
      </c>
      <c r="Q70" s="5">
        <v>24</v>
      </c>
      <c r="R70" s="5">
        <v>1326</v>
      </c>
      <c r="S70" s="5">
        <v>1365</v>
      </c>
      <c r="T70" s="5">
        <v>-225</v>
      </c>
    </row>
    <row r="71" spans="1:20" s="5" customFormat="1" x14ac:dyDescent="0.2">
      <c r="A71" s="5" t="s">
        <v>51</v>
      </c>
      <c r="Q71" s="5">
        <f>SUM(Q62:Q70)</f>
        <v>2485</v>
      </c>
      <c r="R71" s="5">
        <f>SUM(R62:R70)</f>
        <v>6657</v>
      </c>
      <c r="S71" s="5">
        <f>SUM(S62:S70)</f>
        <v>5188</v>
      </c>
      <c r="T71" s="5">
        <f>SUM(T62:T70)</f>
        <v>5841</v>
      </c>
    </row>
    <row r="72" spans="1:20" s="5" customFormat="1" x14ac:dyDescent="0.2"/>
    <row r="73" spans="1:20" s="5" customFormat="1" x14ac:dyDescent="0.2">
      <c r="A73" s="5" t="s">
        <v>52</v>
      </c>
      <c r="Q73" s="5">
        <v>-1086</v>
      </c>
      <c r="R73" s="5">
        <v>-695</v>
      </c>
      <c r="S73" s="5">
        <v>-758</v>
      </c>
      <c r="T73" s="5">
        <v>-969</v>
      </c>
    </row>
    <row r="74" spans="1:20" s="5" customFormat="1" x14ac:dyDescent="0.2">
      <c r="A74" s="5" t="s">
        <v>53</v>
      </c>
      <c r="Q74" s="5">
        <f>+-2426+74+2379+31</f>
        <v>58</v>
      </c>
      <c r="R74" s="5">
        <f>+-9961+4236+2449+171</f>
        <v>-3105</v>
      </c>
      <c r="S74" s="5">
        <f>+-12913+8199+3967+-19</f>
        <v>-766</v>
      </c>
      <c r="T74" s="5">
        <f>+-6059+3356+4184+52</f>
        <v>1533</v>
      </c>
    </row>
    <row r="75" spans="1:20" s="5" customFormat="1" x14ac:dyDescent="0.2">
      <c r="A75" s="5" t="s">
        <v>54</v>
      </c>
      <c r="Q75" s="5">
        <f>SUM(Q73:Q74)</f>
        <v>-1028</v>
      </c>
      <c r="R75" s="5">
        <f>SUM(R73:R74)</f>
        <v>-3800</v>
      </c>
      <c r="S75" s="5">
        <f>SUM(S73:S74)</f>
        <v>-1524</v>
      </c>
      <c r="T75" s="5">
        <f>SUM(T73:T74)</f>
        <v>564</v>
      </c>
    </row>
    <row r="76" spans="1:20" s="5" customFormat="1" x14ac:dyDescent="0.2"/>
    <row r="77" spans="1:20" s="5" customFormat="1" x14ac:dyDescent="0.2">
      <c r="A77" s="5" t="s">
        <v>23</v>
      </c>
      <c r="Q77" s="5">
        <f>6134+49+-6</f>
        <v>6177</v>
      </c>
      <c r="R77" s="5">
        <f>+-52+-197</f>
        <v>-249</v>
      </c>
      <c r="S77" s="5">
        <v>15</v>
      </c>
      <c r="T77" s="5">
        <f>+-4+-500</f>
        <v>-504</v>
      </c>
    </row>
    <row r="78" spans="1:20" s="5" customFormat="1" x14ac:dyDescent="0.2">
      <c r="A78" s="5" t="s">
        <v>55</v>
      </c>
      <c r="Q78" s="5">
        <v>885</v>
      </c>
      <c r="R78" s="5">
        <v>1172</v>
      </c>
      <c r="S78" s="5">
        <v>1151</v>
      </c>
      <c r="T78" s="5">
        <v>651</v>
      </c>
    </row>
    <row r="79" spans="1:20" s="5" customFormat="1" x14ac:dyDescent="0.2">
      <c r="A79" s="5" t="s">
        <v>56</v>
      </c>
      <c r="Q79" s="5">
        <v>-3067</v>
      </c>
      <c r="R79" s="5">
        <v>-608</v>
      </c>
      <c r="S79" s="5">
        <v>-4014</v>
      </c>
      <c r="T79" s="5">
        <v>-5480</v>
      </c>
    </row>
    <row r="80" spans="1:20" s="5" customFormat="1" x14ac:dyDescent="0.2">
      <c r="A80" s="5" t="s">
        <v>57</v>
      </c>
      <c r="Q80" s="5">
        <v>-1452</v>
      </c>
      <c r="R80" s="5">
        <v>-1638</v>
      </c>
      <c r="S80" s="5">
        <v>-1537</v>
      </c>
      <c r="T80" s="5">
        <v>-2012</v>
      </c>
    </row>
    <row r="81" spans="1:20" s="5" customFormat="1" x14ac:dyDescent="0.2">
      <c r="A81" s="5" t="s">
        <v>59</v>
      </c>
      <c r="Q81" s="5">
        <v>-52</v>
      </c>
      <c r="R81" s="5">
        <v>-136</v>
      </c>
      <c r="S81" s="5">
        <v>-151</v>
      </c>
      <c r="T81" s="5">
        <v>-102</v>
      </c>
    </row>
    <row r="82" spans="1:20" s="5" customFormat="1" x14ac:dyDescent="0.2">
      <c r="A82" s="5" t="s">
        <v>58</v>
      </c>
      <c r="Q82" s="5">
        <f>SUM(Q77:Q81)</f>
        <v>2491</v>
      </c>
      <c r="R82" s="5">
        <f>SUM(R77:R81)</f>
        <v>-1459</v>
      </c>
      <c r="S82" s="5">
        <f>SUM(S77:S81)</f>
        <v>-4536</v>
      </c>
      <c r="T82" s="5">
        <f>SUM(T77:T81)</f>
        <v>-7447</v>
      </c>
    </row>
    <row r="83" spans="1:20" s="5" customFormat="1" x14ac:dyDescent="0.2"/>
    <row r="84" spans="1:20" s="5" customFormat="1" x14ac:dyDescent="0.2">
      <c r="A84" s="5" t="s">
        <v>60</v>
      </c>
      <c r="F84" s="17"/>
      <c r="G84" s="17"/>
      <c r="Q84" s="5">
        <v>-66</v>
      </c>
      <c r="R84" s="5">
        <v>143</v>
      </c>
      <c r="S84" s="5">
        <v>-143</v>
      </c>
      <c r="T84" s="5">
        <v>-91</v>
      </c>
    </row>
    <row r="85" spans="1:20" s="5" customFormat="1" x14ac:dyDescent="0.2">
      <c r="A85" s="5" t="s">
        <v>61</v>
      </c>
      <c r="Q85" s="5">
        <v>3882</v>
      </c>
      <c r="R85" s="5">
        <v>1541</v>
      </c>
      <c r="S85" s="5">
        <v>-1315</v>
      </c>
      <c r="T85" s="5">
        <v>-1133</v>
      </c>
    </row>
    <row r="86" spans="1:20" s="5" customFormat="1" x14ac:dyDescent="0.2"/>
    <row r="87" spans="1:20" s="5" customFormat="1" x14ac:dyDescent="0.2">
      <c r="A87" s="5" t="s">
        <v>62</v>
      </c>
      <c r="Q87" s="5">
        <f>+Q71+Q73-Q65</f>
        <v>970</v>
      </c>
      <c r="R87" s="5">
        <f>+R71+R73-R65</f>
        <v>5351</v>
      </c>
      <c r="S87" s="5">
        <f>+S71+S73-S65</f>
        <v>3792</v>
      </c>
      <c r="T87" s="5">
        <f>+T71+T73-T65</f>
        <v>4117</v>
      </c>
    </row>
    <row r="88" spans="1:20" x14ac:dyDescent="0.2">
      <c r="S88" s="12"/>
      <c r="T88" s="12"/>
    </row>
    <row r="89" spans="1:20" x14ac:dyDescent="0.2">
      <c r="R89" s="12"/>
      <c r="S89" s="12"/>
      <c r="T89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2024-02-28T10:01:22Z</dcterms:created>
  <dcterms:modified xsi:type="dcterms:W3CDTF">2025-03-21T21:34:40Z</dcterms:modified>
</cp:coreProperties>
</file>