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C30CEC9A-158C-42B3-895B-172ECAA83388}" xr6:coauthVersionLast="47" xr6:coauthVersionMax="47" xr10:uidLastSave="{00000000-0000-0000-0000-000000000000}"/>
  <bookViews>
    <workbookView xWindow="60" yWindow="135" windowWidth="14010" windowHeight="15360" activeTab="1" xr2:uid="{58DB761F-89BE-4959-A062-F2856EFB576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75" i="2"/>
  <c r="E75" i="2"/>
  <c r="G75" i="2"/>
  <c r="G70" i="2"/>
  <c r="G63" i="2"/>
  <c r="G58" i="2"/>
  <c r="G59" i="2" s="1"/>
  <c r="G74" i="2" s="1"/>
  <c r="G49" i="2"/>
  <c r="F70" i="2"/>
  <c r="F63" i="2"/>
  <c r="F58" i="2"/>
  <c r="F59" i="2" s="1"/>
  <c r="F49" i="2"/>
  <c r="E70" i="2"/>
  <c r="E63" i="2"/>
  <c r="E58" i="2"/>
  <c r="E59" i="2" s="1"/>
  <c r="E49" i="2"/>
  <c r="D70" i="2"/>
  <c r="D63" i="2"/>
  <c r="D58" i="2"/>
  <c r="D59" i="2" s="1"/>
  <c r="D49" i="2"/>
  <c r="C65" i="2"/>
  <c r="C70" i="2"/>
  <c r="C63" i="2"/>
  <c r="C58" i="2"/>
  <c r="C59" i="2" s="1"/>
  <c r="C49" i="2"/>
  <c r="B74" i="2"/>
  <c r="B72" i="2"/>
  <c r="B70" i="2"/>
  <c r="B65" i="2"/>
  <c r="G72" i="2" l="1"/>
  <c r="F74" i="2"/>
  <c r="F72" i="2"/>
  <c r="E74" i="2"/>
  <c r="E72" i="2"/>
  <c r="D74" i="2"/>
  <c r="D72" i="2"/>
  <c r="C74" i="2"/>
  <c r="C72" i="2"/>
  <c r="B63" i="2"/>
  <c r="B59" i="2"/>
  <c r="B58" i="2"/>
  <c r="B49" i="2"/>
  <c r="C42" i="2"/>
  <c r="C45" i="2" s="1"/>
  <c r="C41" i="2"/>
  <c r="C32" i="2"/>
  <c r="E42" i="2"/>
  <c r="E45" i="2" s="1"/>
  <c r="E41" i="2"/>
  <c r="E32" i="2"/>
  <c r="G42" i="2"/>
  <c r="G45" i="2" s="1"/>
  <c r="G41" i="2"/>
  <c r="G32" i="2"/>
  <c r="F42" i="2"/>
  <c r="F45" i="2" s="1"/>
  <c r="F41" i="2"/>
  <c r="F32" i="2"/>
  <c r="D42" i="2"/>
  <c r="D45" i="2" s="1"/>
  <c r="D41" i="2"/>
  <c r="D32" i="2"/>
  <c r="B32" i="2"/>
  <c r="G27" i="2"/>
  <c r="E27" i="2"/>
  <c r="D27" i="2"/>
  <c r="F27" i="2"/>
  <c r="B22" i="2"/>
  <c r="B42" i="2"/>
  <c r="B45" i="2" s="1"/>
  <c r="B41" i="2"/>
  <c r="B46" i="2" s="1"/>
  <c r="B47" i="2" s="1"/>
  <c r="F9" i="2"/>
  <c r="F12" i="2" s="1"/>
  <c r="F6" i="2"/>
  <c r="F22" i="2" s="1"/>
  <c r="D9" i="2"/>
  <c r="D12" i="2" s="1"/>
  <c r="D6" i="2"/>
  <c r="D22" i="2" s="1"/>
  <c r="B9" i="2"/>
  <c r="B12" i="2" s="1"/>
  <c r="B6" i="2"/>
  <c r="C9" i="2"/>
  <c r="C12" i="2" s="1"/>
  <c r="C6" i="2"/>
  <c r="C22" i="2" s="1"/>
  <c r="E9" i="2"/>
  <c r="E12" i="2" s="1"/>
  <c r="E6" i="2"/>
  <c r="E22" i="2" s="1"/>
  <c r="G9" i="2"/>
  <c r="G12" i="2" s="1"/>
  <c r="G6" i="2"/>
  <c r="I9" i="1"/>
  <c r="I6" i="1"/>
  <c r="D46" i="2" l="1"/>
  <c r="D47" i="2" s="1"/>
  <c r="C46" i="2"/>
  <c r="C47" i="2" s="1"/>
  <c r="E46" i="2"/>
  <c r="E47" i="2" s="1"/>
  <c r="G46" i="2"/>
  <c r="G47" i="2" s="1"/>
  <c r="F46" i="2"/>
  <c r="F47" i="2" s="1"/>
  <c r="F13" i="2"/>
  <c r="D13" i="2"/>
  <c r="B13" i="2"/>
  <c r="C13" i="2"/>
  <c r="E13" i="2"/>
  <c r="G13" i="2"/>
  <c r="G16" i="2" l="1"/>
  <c r="G23" i="2"/>
  <c r="E16" i="2"/>
  <c r="E23" i="2"/>
  <c r="C16" i="2"/>
  <c r="C23" i="2"/>
  <c r="B16" i="2"/>
  <c r="B23" i="2"/>
  <c r="D16" i="2"/>
  <c r="D23" i="2"/>
  <c r="F16" i="2"/>
  <c r="F23" i="2"/>
  <c r="D18" i="2" l="1"/>
  <c r="D24" i="2"/>
  <c r="F18" i="2"/>
  <c r="F24" i="2"/>
  <c r="B24" i="2"/>
  <c r="B18" i="2"/>
  <c r="B25" i="2" s="1"/>
  <c r="C18" i="2"/>
  <c r="C24" i="2"/>
  <c r="E18" i="2"/>
  <c r="E24" i="2"/>
  <c r="G18" i="2"/>
  <c r="G24" i="2"/>
  <c r="G19" i="2" l="1"/>
  <c r="G25" i="2"/>
  <c r="C19" i="2"/>
  <c r="C25" i="2"/>
  <c r="E19" i="2"/>
  <c r="E25" i="2"/>
  <c r="B19" i="2"/>
  <c r="F19" i="2"/>
  <c r="F25" i="2"/>
  <c r="D19" i="2"/>
  <c r="D25" i="2"/>
</calcChain>
</file>

<file path=xl/sharedStrings.xml><?xml version="1.0" encoding="utf-8"?>
<sst xmlns="http://schemas.openxmlformats.org/spreadsheetml/2006/main" count="76" uniqueCount="60">
  <si>
    <t>NX Filtration</t>
  </si>
  <si>
    <t>(in thousands)</t>
  </si>
  <si>
    <t>(NXFIL)</t>
  </si>
  <si>
    <t>Price</t>
  </si>
  <si>
    <t>Shares</t>
  </si>
  <si>
    <t>MC</t>
  </si>
  <si>
    <t>Cash</t>
  </si>
  <si>
    <t>Debt</t>
  </si>
  <si>
    <t>EV</t>
  </si>
  <si>
    <t xml:space="preserve">Revenue </t>
  </si>
  <si>
    <t>COGS</t>
  </si>
  <si>
    <t>Gross profit</t>
  </si>
  <si>
    <t>Inventories</t>
  </si>
  <si>
    <t>G&amp;A</t>
  </si>
  <si>
    <t>D&amp;A</t>
  </si>
  <si>
    <t>R&amp;D</t>
  </si>
  <si>
    <t>S&amp;M</t>
  </si>
  <si>
    <t>Operating expense</t>
  </si>
  <si>
    <t>Operating income</t>
  </si>
  <si>
    <t>Other</t>
  </si>
  <si>
    <t>Interest income</t>
  </si>
  <si>
    <t>Pretax</t>
  </si>
  <si>
    <t>Taxes</t>
  </si>
  <si>
    <t>Net income</t>
  </si>
  <si>
    <t>EPS</t>
  </si>
  <si>
    <t>H2021</t>
  </si>
  <si>
    <t>H2022</t>
  </si>
  <si>
    <t>H2023</t>
  </si>
  <si>
    <t>Net cash</t>
  </si>
  <si>
    <t>Intangible</t>
  </si>
  <si>
    <t>PP&amp;E</t>
  </si>
  <si>
    <t>Right of use</t>
  </si>
  <si>
    <t>D/T</t>
  </si>
  <si>
    <t>A/R</t>
  </si>
  <si>
    <t>Assets</t>
  </si>
  <si>
    <t>Lease</t>
  </si>
  <si>
    <t>A/P</t>
  </si>
  <si>
    <t>Liabilities</t>
  </si>
  <si>
    <t>Gross margin</t>
  </si>
  <si>
    <t>Operating margin</t>
  </si>
  <si>
    <t>Taxe rate</t>
  </si>
  <si>
    <t>Net margin</t>
  </si>
  <si>
    <t>Revenue y/y</t>
  </si>
  <si>
    <t>S/E</t>
  </si>
  <si>
    <t>L+S/E</t>
  </si>
  <si>
    <t>Model NI</t>
  </si>
  <si>
    <t>Reported NI</t>
  </si>
  <si>
    <t>Provision</t>
  </si>
  <si>
    <t>SBC</t>
  </si>
  <si>
    <t>Working capital</t>
  </si>
  <si>
    <t>CFFO</t>
  </si>
  <si>
    <t>CapEx</t>
  </si>
  <si>
    <t>CFFI</t>
  </si>
  <si>
    <t>Issuance shares</t>
  </si>
  <si>
    <t>Buybacks</t>
  </si>
  <si>
    <t>Interest</t>
  </si>
  <si>
    <t>CFFF</t>
  </si>
  <si>
    <t>CIC</t>
  </si>
  <si>
    <t>FCF</t>
  </si>
  <si>
    <t>FCF 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</si>
</sst>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9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26F1-8919-4218-B437-613670644C4A}">
  <dimension ref="A1:I9"/>
  <sheetViews>
    <sheetView workbookViewId="0">
      <selection activeCell="I5" sqref="I5"/>
    </sheetView>
  </sheetViews>
  <sheetFormatPr defaultRowHeight="12.75" x14ac:dyDescent="0.2"/>
  <cols>
    <col min="1" max="1" width="31.42578125" bestFit="1" customWidth="1"/>
  </cols>
  <sheetData>
    <row r="1" spans="1:9" ht="34.5" x14ac:dyDescent="0.45">
      <c r="A1" s="1" t="s">
        <v>0</v>
      </c>
    </row>
    <row r="2" spans="1:9" x14ac:dyDescent="0.2">
      <c r="A2" t="s">
        <v>2</v>
      </c>
    </row>
    <row r="3" spans="1:9" x14ac:dyDescent="0.2">
      <c r="A3" t="s">
        <v>1</v>
      </c>
    </row>
    <row r="4" spans="1:9" x14ac:dyDescent="0.2">
      <c r="H4" t="s">
        <v>3</v>
      </c>
      <c r="I4" s="3">
        <v>3.085</v>
      </c>
    </row>
    <row r="5" spans="1:9" x14ac:dyDescent="0.2">
      <c r="H5" t="s">
        <v>4</v>
      </c>
      <c r="I5" s="2">
        <v>50013.01</v>
      </c>
    </row>
    <row r="6" spans="1:9" x14ac:dyDescent="0.2">
      <c r="H6" t="s">
        <v>5</v>
      </c>
      <c r="I6" s="2">
        <f>+I4*I5</f>
        <v>154290.13584999999</v>
      </c>
    </row>
    <row r="7" spans="1:9" x14ac:dyDescent="0.2">
      <c r="H7" t="s">
        <v>6</v>
      </c>
      <c r="I7" s="2">
        <v>49928</v>
      </c>
    </row>
    <row r="8" spans="1:9" x14ac:dyDescent="0.2">
      <c r="H8" t="s">
        <v>7</v>
      </c>
      <c r="I8" s="2">
        <v>0</v>
      </c>
    </row>
    <row r="9" spans="1:9" x14ac:dyDescent="0.2">
      <c r="H9" t="s">
        <v>8</v>
      </c>
      <c r="I9" s="2">
        <f>+I6-I7+I8</f>
        <v>104362.13584999999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ACC4-833D-4E32-9B25-310885C7A390}">
  <dimension ref="A1:G7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2.75" x14ac:dyDescent="0.2"/>
  <cols>
    <col min="1" max="1" width="31.42578125" bestFit="1" customWidth="1"/>
    <col min="2" max="2" width="10.85546875" style="2" customWidth="1"/>
    <col min="3" max="3" width="9.140625" style="2"/>
    <col min="4" max="4" width="10" style="2" customWidth="1"/>
    <col min="5" max="5" width="9.140625" style="2"/>
    <col min="6" max="6" width="10" style="2" customWidth="1"/>
    <col min="7" max="16384" width="9.140625" style="2"/>
  </cols>
  <sheetData>
    <row r="1" spans="1:7" customFormat="1" ht="34.5" x14ac:dyDescent="0.45">
      <c r="A1" s="1" t="s">
        <v>0</v>
      </c>
      <c r="B1" s="1"/>
      <c r="D1" s="1"/>
      <c r="F1" s="1"/>
    </row>
    <row r="2" spans="1:7" customFormat="1" x14ac:dyDescent="0.2">
      <c r="A2" t="s">
        <v>2</v>
      </c>
    </row>
    <row r="3" spans="1:7" s="5" customFormat="1" x14ac:dyDescent="0.2">
      <c r="A3" t="s">
        <v>1</v>
      </c>
      <c r="B3" s="5" t="s">
        <v>25</v>
      </c>
      <c r="C3" s="5">
        <v>2021</v>
      </c>
      <c r="D3" s="5" t="s">
        <v>26</v>
      </c>
      <c r="E3" s="5">
        <v>2022</v>
      </c>
      <c r="F3" s="5" t="s">
        <v>27</v>
      </c>
      <c r="G3" s="5">
        <v>2023</v>
      </c>
    </row>
    <row r="4" spans="1:7" s="8" customFormat="1" x14ac:dyDescent="0.2">
      <c r="A4" s="4" t="s">
        <v>9</v>
      </c>
      <c r="B4" s="8">
        <v>1088</v>
      </c>
      <c r="C4" s="8">
        <v>3173</v>
      </c>
      <c r="D4" s="8">
        <v>3253</v>
      </c>
      <c r="E4" s="8">
        <v>7546</v>
      </c>
      <c r="F4" s="8">
        <v>3361</v>
      </c>
      <c r="G4" s="8">
        <v>7238</v>
      </c>
    </row>
    <row r="5" spans="1:7" x14ac:dyDescent="0.2">
      <c r="A5" t="s">
        <v>10</v>
      </c>
      <c r="B5" s="2">
        <v>567</v>
      </c>
      <c r="C5" s="2">
        <v>1428</v>
      </c>
      <c r="D5" s="2">
        <v>1455</v>
      </c>
      <c r="E5" s="2">
        <v>3229</v>
      </c>
      <c r="F5" s="2">
        <v>1380</v>
      </c>
      <c r="G5" s="2">
        <v>2926</v>
      </c>
    </row>
    <row r="6" spans="1:7" s="8" customFormat="1" x14ac:dyDescent="0.2">
      <c r="A6" s="4" t="s">
        <v>11</v>
      </c>
      <c r="B6" s="8">
        <f>+B4-B5</f>
        <v>521</v>
      </c>
      <c r="C6" s="8">
        <f>+C4-C5</f>
        <v>1745</v>
      </c>
      <c r="D6" s="8">
        <f>+D4-D5</f>
        <v>1798</v>
      </c>
      <c r="E6" s="8">
        <f>+E4-E5</f>
        <v>4317</v>
      </c>
      <c r="F6" s="8">
        <f>+F4-F5</f>
        <v>1981</v>
      </c>
      <c r="G6" s="8">
        <f>+G4-G5</f>
        <v>4312</v>
      </c>
    </row>
    <row r="7" spans="1:7" x14ac:dyDescent="0.2">
      <c r="A7" t="s">
        <v>12</v>
      </c>
      <c r="B7" s="2">
        <v>472</v>
      </c>
      <c r="C7" s="2">
        <v>218</v>
      </c>
      <c r="D7" s="2">
        <v>219</v>
      </c>
      <c r="E7" s="2">
        <v>1134</v>
      </c>
      <c r="F7" s="2">
        <v>2517</v>
      </c>
      <c r="G7" s="2">
        <v>3669</v>
      </c>
    </row>
    <row r="8" spans="1:7" x14ac:dyDescent="0.2">
      <c r="A8" t="s">
        <v>13</v>
      </c>
      <c r="B8" s="2">
        <v>1497</v>
      </c>
      <c r="C8" s="2">
        <v>3833</v>
      </c>
      <c r="D8" s="2">
        <v>3797</v>
      </c>
      <c r="E8" s="2">
        <v>8363</v>
      </c>
      <c r="F8" s="2">
        <v>6293</v>
      </c>
      <c r="G8" s="2">
        <v>12868</v>
      </c>
    </row>
    <row r="9" spans="1:7" x14ac:dyDescent="0.2">
      <c r="A9" t="s">
        <v>14</v>
      </c>
      <c r="B9" s="2">
        <f>156+451</f>
        <v>607</v>
      </c>
      <c r="C9" s="2">
        <f>315+1076</f>
        <v>1391</v>
      </c>
      <c r="D9" s="2">
        <f>358+911</f>
        <v>1269</v>
      </c>
      <c r="E9" s="2">
        <f>490+2567</f>
        <v>3057</v>
      </c>
      <c r="F9" s="2">
        <f>333+1807</f>
        <v>2140</v>
      </c>
      <c r="G9" s="2">
        <f>679+3671</f>
        <v>4350</v>
      </c>
    </row>
    <row r="10" spans="1:7" x14ac:dyDescent="0.2">
      <c r="A10" t="s">
        <v>16</v>
      </c>
      <c r="B10" s="2">
        <v>10323</v>
      </c>
      <c r="C10" s="2">
        <v>12102</v>
      </c>
      <c r="D10" s="2">
        <v>2427</v>
      </c>
      <c r="E10" s="2">
        <v>5602</v>
      </c>
      <c r="F10" s="2">
        <v>3643</v>
      </c>
      <c r="G10" s="2">
        <v>7268</v>
      </c>
    </row>
    <row r="11" spans="1:7" x14ac:dyDescent="0.2">
      <c r="A11" t="s">
        <v>15</v>
      </c>
      <c r="B11" s="2">
        <v>126</v>
      </c>
      <c r="C11" s="2">
        <v>247</v>
      </c>
      <c r="D11" s="2">
        <v>168</v>
      </c>
      <c r="E11" s="2">
        <v>843</v>
      </c>
      <c r="F11" s="2">
        <v>248</v>
      </c>
      <c r="G11" s="2">
        <v>596</v>
      </c>
    </row>
    <row r="12" spans="1:7" x14ac:dyDescent="0.2">
      <c r="A12" t="s">
        <v>17</v>
      </c>
      <c r="B12" s="2">
        <f>+SUM(B8:B11)-B7</f>
        <v>12081</v>
      </c>
      <c r="C12" s="2">
        <f>+SUM(C8:C11)-C7</f>
        <v>17355</v>
      </c>
      <c r="D12" s="2">
        <f>+SUM(D8:D11)-D7</f>
        <v>7442</v>
      </c>
      <c r="E12" s="2">
        <f>+SUM(E8:E11)-E7</f>
        <v>16731</v>
      </c>
      <c r="F12" s="2">
        <f>+SUM(F8:F11)-F7</f>
        <v>9807</v>
      </c>
      <c r="G12" s="2">
        <f>+SUM(G8:G11)-G7</f>
        <v>21413</v>
      </c>
    </row>
    <row r="13" spans="1:7" s="8" customFormat="1" x14ac:dyDescent="0.2">
      <c r="A13" s="4" t="s">
        <v>18</v>
      </c>
      <c r="B13" s="8">
        <f>+B6-B12</f>
        <v>-11560</v>
      </c>
      <c r="C13" s="8">
        <f>+C6-C12</f>
        <v>-15610</v>
      </c>
      <c r="D13" s="8">
        <f>+D6-D12</f>
        <v>-5644</v>
      </c>
      <c r="E13" s="8">
        <f>+E6-E12</f>
        <v>-12414</v>
      </c>
      <c r="F13" s="8">
        <f>+F6-F12</f>
        <v>-7826</v>
      </c>
      <c r="G13" s="8">
        <f>+G6-G12</f>
        <v>-17101</v>
      </c>
    </row>
    <row r="14" spans="1:7" x14ac:dyDescent="0.2">
      <c r="A14" t="s">
        <v>20</v>
      </c>
      <c r="B14" s="2">
        <v>-62</v>
      </c>
      <c r="C14" s="2">
        <v>-427</v>
      </c>
      <c r="D14" s="2">
        <v>-303</v>
      </c>
      <c r="E14" s="2">
        <v>-289</v>
      </c>
      <c r="F14" s="2">
        <v>884</v>
      </c>
      <c r="G14" s="2">
        <v>1939</v>
      </c>
    </row>
    <row r="15" spans="1:7" x14ac:dyDescent="0.2">
      <c r="A15" t="s">
        <v>19</v>
      </c>
      <c r="B15" s="2">
        <v>192</v>
      </c>
      <c r="C15" s="2">
        <v>896</v>
      </c>
      <c r="D15" s="2">
        <v>439</v>
      </c>
      <c r="E15" s="2">
        <v>808</v>
      </c>
      <c r="F15" s="2">
        <v>376</v>
      </c>
      <c r="G15" s="2">
        <v>815</v>
      </c>
    </row>
    <row r="16" spans="1:7" x14ac:dyDescent="0.2">
      <c r="A16" t="s">
        <v>21</v>
      </c>
      <c r="B16" s="2">
        <f>+B13+B15+B14</f>
        <v>-11430</v>
      </c>
      <c r="C16" s="2">
        <f>+C13+C15+C14</f>
        <v>-15141</v>
      </c>
      <c r="D16" s="2">
        <f>+D13+D15+D14</f>
        <v>-5508</v>
      </c>
      <c r="E16" s="2">
        <f>+E13+E15+E14</f>
        <v>-11895</v>
      </c>
      <c r="F16" s="2">
        <f>+F13+F15+F14</f>
        <v>-6566</v>
      </c>
      <c r="G16" s="2">
        <f>+G13+G15+G14</f>
        <v>-14347</v>
      </c>
    </row>
    <row r="17" spans="1:7" x14ac:dyDescent="0.2">
      <c r="A17" t="s">
        <v>22</v>
      </c>
      <c r="B17" s="2">
        <v>-468</v>
      </c>
      <c r="C17" s="2">
        <v>-3787</v>
      </c>
      <c r="D17" s="2">
        <v>-1519</v>
      </c>
      <c r="E17" s="2">
        <v>-3253</v>
      </c>
      <c r="F17" s="2">
        <v>-1694</v>
      </c>
      <c r="G17" s="2">
        <v>8945</v>
      </c>
    </row>
    <row r="18" spans="1:7" s="8" customFormat="1" x14ac:dyDescent="0.2">
      <c r="A18" s="4" t="s">
        <v>23</v>
      </c>
      <c r="B18" s="8">
        <f>+B16-B17</f>
        <v>-10962</v>
      </c>
      <c r="C18" s="8">
        <f>+C16-C17</f>
        <v>-11354</v>
      </c>
      <c r="D18" s="8">
        <f>+D16-D17</f>
        <v>-3989</v>
      </c>
      <c r="E18" s="8">
        <f>+E16-E17</f>
        <v>-8642</v>
      </c>
      <c r="F18" s="8">
        <f>+F16-F17</f>
        <v>-4872</v>
      </c>
      <c r="G18" s="8">
        <f>+G16-G17</f>
        <v>-23292</v>
      </c>
    </row>
    <row r="19" spans="1:7" x14ac:dyDescent="0.2">
      <c r="A19" t="s">
        <v>24</v>
      </c>
      <c r="B19" s="2">
        <f>+B18/B20</f>
        <v>-0.25436300306131282</v>
      </c>
      <c r="C19" s="2">
        <f>+C18/C20</f>
        <v>-0.26345899806222822</v>
      </c>
      <c r="D19" s="2">
        <f>+D18/D20</f>
        <v>-7.9759246644023216E-2</v>
      </c>
      <c r="E19" s="2">
        <f>+E18/E20</f>
        <v>-0.1727950387309222</v>
      </c>
      <c r="F19" s="2">
        <f>+F18/F20</f>
        <v>-9.7414652707365545E-2</v>
      </c>
      <c r="G19" s="2">
        <f>+G18/G20</f>
        <v>-0.46571881996304559</v>
      </c>
    </row>
    <row r="20" spans="1:7" x14ac:dyDescent="0.2">
      <c r="A20" t="s">
        <v>4</v>
      </c>
      <c r="B20" s="2">
        <v>43095.89</v>
      </c>
      <c r="C20" s="2">
        <v>43095.89</v>
      </c>
      <c r="D20" s="2">
        <v>50013.01</v>
      </c>
      <c r="E20" s="2">
        <v>50013.01</v>
      </c>
      <c r="F20" s="2">
        <v>50013.01</v>
      </c>
      <c r="G20" s="2">
        <v>50013.01</v>
      </c>
    </row>
    <row r="22" spans="1:7" s="6" customFormat="1" x14ac:dyDescent="0.2">
      <c r="A22" s="6" t="s">
        <v>38</v>
      </c>
      <c r="B22" s="6">
        <f>+B6/B4</f>
        <v>0.47886029411764708</v>
      </c>
      <c r="C22" s="6">
        <f t="shared" ref="C22:G22" si="0">+C6/C4</f>
        <v>0.54995272612669399</v>
      </c>
      <c r="D22" s="6">
        <f t="shared" ref="D22" si="1">+D6/D4</f>
        <v>0.55272056563172456</v>
      </c>
      <c r="E22" s="6">
        <f t="shared" si="0"/>
        <v>0.57209117413199051</v>
      </c>
      <c r="F22" s="6">
        <f>+F6/F4</f>
        <v>0.58940791431121686</v>
      </c>
      <c r="G22" s="6">
        <f>+G6/G4</f>
        <v>0.5957446808510638</v>
      </c>
    </row>
    <row r="23" spans="1:7" s="6" customFormat="1" x14ac:dyDescent="0.2">
      <c r="A23" s="6" t="s">
        <v>39</v>
      </c>
      <c r="B23" s="6">
        <f>+B13/B4</f>
        <v>-10.625</v>
      </c>
      <c r="C23" s="6">
        <f t="shared" ref="C23:G23" si="2">+C13/C4</f>
        <v>-4.9196344153797664</v>
      </c>
      <c r="D23" s="6">
        <f t="shared" ref="D23" si="3">+D13/D4</f>
        <v>-1.7350138333845682</v>
      </c>
      <c r="E23" s="6">
        <f t="shared" si="2"/>
        <v>-1.6451099920487675</v>
      </c>
      <c r="F23" s="6">
        <f>+F13/F4</f>
        <v>-2.3284736685510263</v>
      </c>
      <c r="G23" s="6">
        <f t="shared" si="2"/>
        <v>-2.362669245647969</v>
      </c>
    </row>
    <row r="24" spans="1:7" s="6" customFormat="1" x14ac:dyDescent="0.2">
      <c r="A24" s="6" t="s">
        <v>40</v>
      </c>
      <c r="B24" s="6">
        <f>+B17/B16</f>
        <v>4.0944881889763779E-2</v>
      </c>
      <c r="C24" s="6">
        <f t="shared" ref="C24:G24" si="4">+C17/C16</f>
        <v>0.25011558021266761</v>
      </c>
      <c r="D24" s="6">
        <f t="shared" ref="D24" si="5">+D17/D16</f>
        <v>0.27578068264342775</v>
      </c>
      <c r="E24" s="6">
        <f t="shared" si="4"/>
        <v>0.27347625052543084</v>
      </c>
      <c r="F24" s="6">
        <f>+F17/F16</f>
        <v>0.25799573560767591</v>
      </c>
      <c r="G24" s="6">
        <f t="shared" si="4"/>
        <v>-0.62347529100160315</v>
      </c>
    </row>
    <row r="25" spans="1:7" s="6" customFormat="1" x14ac:dyDescent="0.2">
      <c r="A25" s="6" t="s">
        <v>41</v>
      </c>
      <c r="B25" s="6">
        <f>+B18/B4</f>
        <v>-10.075367647058824</v>
      </c>
      <c r="C25" s="6">
        <f t="shared" ref="C25:G25" si="6">+C18/C4</f>
        <v>-3.5783170501103059</v>
      </c>
      <c r="D25" s="6">
        <f t="shared" ref="D25" si="7">+D18/D4</f>
        <v>-1.2262526898247772</v>
      </c>
      <c r="E25" s="6">
        <f t="shared" si="6"/>
        <v>-1.1452425125894514</v>
      </c>
      <c r="F25" s="6">
        <f>+F18/F4</f>
        <v>-1.44956858077953</v>
      </c>
      <c r="G25" s="6">
        <f t="shared" si="6"/>
        <v>-3.2180160265266649</v>
      </c>
    </row>
    <row r="26" spans="1:7" s="6" customFormat="1" x14ac:dyDescent="0.2"/>
    <row r="27" spans="1:7" s="7" customFormat="1" x14ac:dyDescent="0.2">
      <c r="A27" s="7" t="s">
        <v>42</v>
      </c>
      <c r="D27" s="7">
        <f>+D4/B4-1</f>
        <v>1.9898897058823528</v>
      </c>
      <c r="E27" s="7">
        <f>+E4/C4-1</f>
        <v>1.3781909864481565</v>
      </c>
      <c r="F27" s="7">
        <f>+F4/D4-1</f>
        <v>3.3200122963418455E-2</v>
      </c>
      <c r="G27" s="7">
        <f t="shared" ref="G27" si="8">+G4/E4-1</f>
        <v>-4.081632653061229E-2</v>
      </c>
    </row>
    <row r="31" spans="1:7" s="8" customFormat="1" x14ac:dyDescent="0.2">
      <c r="A31" s="4"/>
    </row>
    <row r="32" spans="1:7" x14ac:dyDescent="0.2">
      <c r="A32" t="s">
        <v>28</v>
      </c>
      <c r="B32" s="2">
        <f>+B40</f>
        <v>145616</v>
      </c>
      <c r="C32" s="2">
        <f>+C40</f>
        <v>133433</v>
      </c>
      <c r="D32" s="2">
        <f>+D40</f>
        <v>116589</v>
      </c>
      <c r="E32" s="2">
        <f>+E40</f>
        <v>104274</v>
      </c>
      <c r="F32" s="2">
        <f>+F40</f>
        <v>82201</v>
      </c>
      <c r="G32" s="2">
        <f>+G40</f>
        <v>49928</v>
      </c>
    </row>
    <row r="33" spans="1:7" x14ac:dyDescent="0.2">
      <c r="A33" t="s">
        <v>29</v>
      </c>
      <c r="B33" s="2">
        <v>1599</v>
      </c>
      <c r="C33" s="2">
        <v>1829</v>
      </c>
      <c r="D33" s="2">
        <v>2095</v>
      </c>
      <c r="E33" s="2">
        <v>2353</v>
      </c>
      <c r="F33" s="2">
        <v>2653</v>
      </c>
      <c r="G33" s="2">
        <v>2637</v>
      </c>
    </row>
    <row r="34" spans="1:7" x14ac:dyDescent="0.2">
      <c r="A34" t="s">
        <v>30</v>
      </c>
      <c r="B34" s="2">
        <v>3895</v>
      </c>
      <c r="C34" s="2">
        <v>9150</v>
      </c>
      <c r="D34" s="2">
        <v>15857</v>
      </c>
      <c r="E34" s="2">
        <v>18535</v>
      </c>
      <c r="F34" s="2">
        <v>28801</v>
      </c>
      <c r="G34" s="2">
        <v>57890</v>
      </c>
    </row>
    <row r="35" spans="1:7" s="8" customFormat="1" x14ac:dyDescent="0.2">
      <c r="A35" t="s">
        <v>31</v>
      </c>
      <c r="B35" s="2">
        <v>1090</v>
      </c>
      <c r="C35" s="2">
        <v>1356</v>
      </c>
      <c r="D35" s="2">
        <v>1391</v>
      </c>
      <c r="E35" s="2">
        <v>1753</v>
      </c>
      <c r="F35" s="2">
        <v>1592</v>
      </c>
      <c r="G35" s="2">
        <v>1448</v>
      </c>
    </row>
    <row r="36" spans="1:7" x14ac:dyDescent="0.2">
      <c r="A36" t="s">
        <v>32</v>
      </c>
      <c r="B36" s="2">
        <v>2389</v>
      </c>
      <c r="C36" s="2">
        <v>5708</v>
      </c>
      <c r="D36" s="2">
        <v>7227</v>
      </c>
      <c r="E36" s="2">
        <v>8960</v>
      </c>
      <c r="F36" s="2">
        <v>10654</v>
      </c>
      <c r="G36" s="2">
        <v>16</v>
      </c>
    </row>
    <row r="37" spans="1:7" x14ac:dyDescent="0.2">
      <c r="A37" t="s">
        <v>12</v>
      </c>
      <c r="B37" s="2">
        <v>2789</v>
      </c>
      <c r="C37" s="2">
        <v>3212</v>
      </c>
      <c r="D37" s="2">
        <v>4081</v>
      </c>
      <c r="E37" s="2">
        <v>6305</v>
      </c>
      <c r="F37" s="2">
        <v>12853</v>
      </c>
      <c r="G37" s="2">
        <v>15063</v>
      </c>
    </row>
    <row r="38" spans="1:7" x14ac:dyDescent="0.2">
      <c r="A38" t="s">
        <v>33</v>
      </c>
      <c r="B38" s="2">
        <v>956</v>
      </c>
      <c r="C38" s="2">
        <v>2804</v>
      </c>
      <c r="D38" s="2">
        <v>4810</v>
      </c>
      <c r="E38" s="2">
        <v>7154</v>
      </c>
      <c r="F38" s="2">
        <v>6976</v>
      </c>
      <c r="G38" s="2">
        <v>9057</v>
      </c>
    </row>
    <row r="39" spans="1:7" x14ac:dyDescent="0.2">
      <c r="A39" t="s">
        <v>22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2">
      <c r="A40" t="s">
        <v>6</v>
      </c>
      <c r="B40" s="2">
        <v>145616</v>
      </c>
      <c r="C40" s="2">
        <v>133433</v>
      </c>
      <c r="D40" s="2">
        <v>116589</v>
      </c>
      <c r="E40" s="2">
        <v>104274</v>
      </c>
      <c r="F40" s="2">
        <v>82201</v>
      </c>
      <c r="G40" s="2">
        <v>49928</v>
      </c>
    </row>
    <row r="41" spans="1:7" x14ac:dyDescent="0.2">
      <c r="A41" s="4" t="s">
        <v>34</v>
      </c>
      <c r="B41" s="8">
        <f>+SUM(B33:B40)</f>
        <v>158334</v>
      </c>
      <c r="C41" s="8">
        <f>+SUM(C33:C40)</f>
        <v>157492</v>
      </c>
      <c r="D41" s="8">
        <f>+SUM(D33:D40)</f>
        <v>152050</v>
      </c>
      <c r="E41" s="8">
        <f>+SUM(E33:E40)</f>
        <v>149334</v>
      </c>
      <c r="F41" s="8">
        <f>+SUM(F33:F40)</f>
        <v>145730</v>
      </c>
      <c r="G41" s="8">
        <f>+SUM(G33:G40)</f>
        <v>136039</v>
      </c>
    </row>
    <row r="42" spans="1:7" x14ac:dyDescent="0.2">
      <c r="A42" t="s">
        <v>35</v>
      </c>
      <c r="B42" s="2">
        <f>905+215</f>
        <v>1120</v>
      </c>
      <c r="C42" s="2">
        <f>1311+497</f>
        <v>1808</v>
      </c>
      <c r="D42" s="2">
        <f>1065+374</f>
        <v>1439</v>
      </c>
      <c r="E42" s="2">
        <f>1311+497</f>
        <v>1808</v>
      </c>
      <c r="F42" s="2">
        <f>1128+526</f>
        <v>1654</v>
      </c>
      <c r="G42" s="2">
        <f>951+562</f>
        <v>1513</v>
      </c>
    </row>
    <row r="43" spans="1:7" x14ac:dyDescent="0.2">
      <c r="A43" t="s">
        <v>36</v>
      </c>
      <c r="B43" s="2">
        <v>5678</v>
      </c>
      <c r="C43" s="2">
        <v>4988</v>
      </c>
      <c r="D43" s="2">
        <v>3456</v>
      </c>
      <c r="E43" s="2">
        <v>4988</v>
      </c>
      <c r="F43" s="2">
        <v>6374</v>
      </c>
      <c r="G43" s="2">
        <v>15074</v>
      </c>
    </row>
    <row r="44" spans="1:7" x14ac:dyDescent="0.2">
      <c r="A44" t="s">
        <v>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</row>
    <row r="45" spans="1:7" x14ac:dyDescent="0.2">
      <c r="A45" s="4" t="s">
        <v>37</v>
      </c>
      <c r="B45" s="8">
        <f>+SUM(B42:B44)</f>
        <v>6798</v>
      </c>
      <c r="C45" s="8">
        <f>+SUM(C42:C44)</f>
        <v>6796</v>
      </c>
      <c r="D45" s="8">
        <f>+SUM(D42:D44)</f>
        <v>4895</v>
      </c>
      <c r="E45" s="8">
        <f>+SUM(E42:E44)</f>
        <v>6796</v>
      </c>
      <c r="F45" s="8">
        <f>+SUM(F42:F44)</f>
        <v>8028</v>
      </c>
      <c r="G45" s="8">
        <f>+SUM(G42:G44)</f>
        <v>16587</v>
      </c>
    </row>
    <row r="46" spans="1:7" x14ac:dyDescent="0.2">
      <c r="A46" t="s">
        <v>43</v>
      </c>
      <c r="B46" s="2">
        <f>+B41-B45</f>
        <v>151536</v>
      </c>
      <c r="C46" s="2">
        <f>+C41-C45</f>
        <v>150696</v>
      </c>
      <c r="D46" s="2">
        <f>+D41-D45</f>
        <v>147155</v>
      </c>
      <c r="E46" s="2">
        <f>+E41-E45</f>
        <v>142538</v>
      </c>
      <c r="F46" s="2">
        <f>+F41-F45</f>
        <v>137702</v>
      </c>
      <c r="G46" s="2">
        <f>+G41-G45</f>
        <v>119452</v>
      </c>
    </row>
    <row r="47" spans="1:7" x14ac:dyDescent="0.2">
      <c r="A47" t="s">
        <v>44</v>
      </c>
      <c r="B47" s="2">
        <f>+B46+B45</f>
        <v>158334</v>
      </c>
      <c r="C47" s="2">
        <f>+C46+C45</f>
        <v>157492</v>
      </c>
      <c r="D47" s="2">
        <f>+D46+D45</f>
        <v>152050</v>
      </c>
      <c r="E47" s="2">
        <f>+E46+E45</f>
        <v>149334</v>
      </c>
      <c r="F47" s="2">
        <f>+F46+F45</f>
        <v>145730</v>
      </c>
      <c r="G47" s="2">
        <f>+G46+G45</f>
        <v>136039</v>
      </c>
    </row>
    <row r="49" spans="1:7" x14ac:dyDescent="0.2">
      <c r="A49" t="s">
        <v>45</v>
      </c>
      <c r="B49" s="2">
        <f>+B18</f>
        <v>-10962</v>
      </c>
      <c r="C49" s="2">
        <f>+C18</f>
        <v>-11354</v>
      </c>
      <c r="D49" s="2">
        <f>+D18</f>
        <v>-3989</v>
      </c>
      <c r="E49" s="2">
        <f>+E18</f>
        <v>-8642</v>
      </c>
      <c r="F49" s="2">
        <f>+F18</f>
        <v>-4872</v>
      </c>
      <c r="G49" s="2">
        <f>+G18</f>
        <v>-23292</v>
      </c>
    </row>
    <row r="50" spans="1:7" x14ac:dyDescent="0.2">
      <c r="A50" t="s">
        <v>46</v>
      </c>
      <c r="B50" s="2">
        <v>-11368</v>
      </c>
      <c r="C50" s="2">
        <v>-14714</v>
      </c>
      <c r="D50" s="2">
        <v>-5205</v>
      </c>
      <c r="E50" s="2">
        <v>-11606</v>
      </c>
      <c r="F50" s="2">
        <v>-7450</v>
      </c>
      <c r="G50" s="2">
        <v>-16286</v>
      </c>
    </row>
    <row r="51" spans="1:7" x14ac:dyDescent="0.2">
      <c r="A51" t="s">
        <v>14</v>
      </c>
      <c r="B51" s="2">
        <v>607</v>
      </c>
      <c r="C51" s="2">
        <v>1391</v>
      </c>
      <c r="D51" s="2">
        <v>1269</v>
      </c>
      <c r="E51" s="2">
        <v>3057</v>
      </c>
      <c r="F51" s="2">
        <v>2140</v>
      </c>
      <c r="G51" s="2">
        <v>4350</v>
      </c>
    </row>
    <row r="52" spans="1:7" x14ac:dyDescent="0.2">
      <c r="A52" t="s">
        <v>47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</row>
    <row r="53" spans="1:7" x14ac:dyDescent="0.2">
      <c r="A53" t="s">
        <v>22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</row>
    <row r="54" spans="1:7" x14ac:dyDescent="0.2">
      <c r="A54" t="s">
        <v>48</v>
      </c>
      <c r="B54" s="2">
        <v>0</v>
      </c>
      <c r="C54" s="2">
        <v>0</v>
      </c>
      <c r="D54" s="2">
        <v>0</v>
      </c>
      <c r="E54" s="2">
        <v>36</v>
      </c>
      <c r="F54" s="2">
        <v>36</v>
      </c>
      <c r="G54" s="2">
        <v>206</v>
      </c>
    </row>
    <row r="55" spans="1:7" x14ac:dyDescent="0.2">
      <c r="A55" t="s">
        <v>12</v>
      </c>
      <c r="B55" s="2">
        <v>-712</v>
      </c>
      <c r="C55" s="2">
        <v>-1135</v>
      </c>
      <c r="D55" s="2">
        <v>-869</v>
      </c>
      <c r="E55" s="2">
        <v>-3093</v>
      </c>
      <c r="F55" s="2">
        <v>6051</v>
      </c>
      <c r="G55" s="2">
        <v>-8263</v>
      </c>
    </row>
    <row r="56" spans="1:7" x14ac:dyDescent="0.2">
      <c r="A56" t="s">
        <v>33</v>
      </c>
      <c r="B56" s="2">
        <v>-330</v>
      </c>
      <c r="C56" s="2">
        <v>-2178</v>
      </c>
      <c r="D56" s="2">
        <v>-2006</v>
      </c>
      <c r="E56" s="2">
        <v>-4350</v>
      </c>
      <c r="F56" s="2">
        <v>288</v>
      </c>
      <c r="G56" s="2">
        <v>-1903</v>
      </c>
    </row>
    <row r="57" spans="1:7" x14ac:dyDescent="0.2">
      <c r="A57" t="s">
        <v>36</v>
      </c>
      <c r="B57" s="2">
        <v>4243</v>
      </c>
      <c r="C57" s="2">
        <v>3391</v>
      </c>
      <c r="D57" s="2">
        <v>-1627</v>
      </c>
      <c r="E57" s="2">
        <v>128</v>
      </c>
      <c r="F57" s="2">
        <v>1452</v>
      </c>
      <c r="G57" s="2">
        <v>10152</v>
      </c>
    </row>
    <row r="58" spans="1:7" x14ac:dyDescent="0.2">
      <c r="A58" t="s">
        <v>49</v>
      </c>
      <c r="B58" s="2">
        <f>+SUM(B55:B57)</f>
        <v>3201</v>
      </c>
      <c r="C58" s="2">
        <f>+SUM(C55:C57)</f>
        <v>78</v>
      </c>
      <c r="D58" s="2">
        <f>+SUM(D55:D57)</f>
        <v>-4502</v>
      </c>
      <c r="E58" s="2">
        <f>+SUM(E55:E57)</f>
        <v>-7315</v>
      </c>
      <c r="F58" s="2">
        <f>+SUM(F55:F57)</f>
        <v>7791</v>
      </c>
      <c r="G58" s="2">
        <f>+SUM(G55:G57)</f>
        <v>-14</v>
      </c>
    </row>
    <row r="59" spans="1:7" s="8" customFormat="1" x14ac:dyDescent="0.2">
      <c r="A59" s="4" t="s">
        <v>50</v>
      </c>
      <c r="B59" s="8">
        <f>+SUM(B50:B54)+B58</f>
        <v>-7560</v>
      </c>
      <c r="C59" s="8">
        <f>+SUM(C50:C54)+C58</f>
        <v>-13245</v>
      </c>
      <c r="D59" s="8">
        <f>+SUM(D50:D54)+D58</f>
        <v>-8438</v>
      </c>
      <c r="E59" s="8">
        <f>+SUM(E50:E54)+E58</f>
        <v>-15828</v>
      </c>
      <c r="F59" s="8">
        <f>+SUM(F50:F54)+F58</f>
        <v>2517</v>
      </c>
      <c r="G59" s="8">
        <f>+SUM(G50:G54)+G58</f>
        <v>-11744</v>
      </c>
    </row>
    <row r="61" spans="1:7" s="8" customFormat="1" x14ac:dyDescent="0.2">
      <c r="A61" s="4" t="s">
        <v>51</v>
      </c>
      <c r="B61" s="8">
        <v>-1988</v>
      </c>
      <c r="C61" s="8">
        <v>-7772</v>
      </c>
      <c r="D61" s="8">
        <v>-7549</v>
      </c>
      <c r="E61" s="8">
        <v>-11653</v>
      </c>
      <c r="F61" s="8">
        <v>-12309</v>
      </c>
      <c r="G61" s="8">
        <v>-42977</v>
      </c>
    </row>
    <row r="62" spans="1:7" x14ac:dyDescent="0.2">
      <c r="A62" t="s">
        <v>29</v>
      </c>
      <c r="B62" s="2">
        <v>-455</v>
      </c>
      <c r="C62" s="2">
        <v>-844</v>
      </c>
      <c r="D62" s="2">
        <v>-511</v>
      </c>
      <c r="E62" s="2">
        <v>-1017</v>
      </c>
      <c r="F62" s="2">
        <v>-633</v>
      </c>
      <c r="G62" s="2">
        <v>-963</v>
      </c>
    </row>
    <row r="63" spans="1:7" s="10" customFormat="1" x14ac:dyDescent="0.2">
      <c r="A63" s="9" t="s">
        <v>52</v>
      </c>
      <c r="B63" s="10">
        <f>SUM(B61:B62)</f>
        <v>-2443</v>
      </c>
      <c r="C63" s="10">
        <f>SUM(C61:C62)</f>
        <v>-8616</v>
      </c>
      <c r="D63" s="10">
        <f>SUM(D61:D62)</f>
        <v>-8060</v>
      </c>
      <c r="E63" s="10">
        <f>SUM(E61:E62)</f>
        <v>-12670</v>
      </c>
      <c r="F63" s="10">
        <f>SUM(F61:F62)</f>
        <v>-12942</v>
      </c>
      <c r="G63" s="10">
        <f>SUM(G61:G62)</f>
        <v>-43940</v>
      </c>
    </row>
    <row r="65" spans="1:7" x14ac:dyDescent="0.2">
      <c r="A65" t="s">
        <v>53</v>
      </c>
      <c r="B65" s="2">
        <f>165000+-15846</f>
        <v>149154</v>
      </c>
      <c r="C65" s="2">
        <f>165000-15846</f>
        <v>149154</v>
      </c>
      <c r="D65" s="2">
        <v>0</v>
      </c>
      <c r="E65" s="2">
        <v>0</v>
      </c>
      <c r="F65" s="2">
        <v>0</v>
      </c>
      <c r="G65" s="2">
        <v>0</v>
      </c>
    </row>
    <row r="66" spans="1:7" x14ac:dyDescent="0.2">
      <c r="A66" t="s">
        <v>7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</row>
    <row r="67" spans="1:7" x14ac:dyDescent="0.2">
      <c r="A67" t="s">
        <v>54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</row>
    <row r="68" spans="1:7" x14ac:dyDescent="0.2">
      <c r="A68" t="s">
        <v>35</v>
      </c>
      <c r="B68" s="2">
        <v>-126</v>
      </c>
      <c r="C68" s="2">
        <v>-268</v>
      </c>
      <c r="D68" s="2">
        <v>-199</v>
      </c>
      <c r="E68" s="2">
        <v>-465</v>
      </c>
      <c r="F68" s="2">
        <v>-287</v>
      </c>
      <c r="G68" s="2">
        <v>-600</v>
      </c>
    </row>
    <row r="69" spans="1:7" x14ac:dyDescent="0.2">
      <c r="A69" t="s">
        <v>55</v>
      </c>
      <c r="B69" s="2">
        <v>-8</v>
      </c>
      <c r="C69" s="2">
        <v>-221</v>
      </c>
      <c r="D69" s="2">
        <v>-147</v>
      </c>
      <c r="E69" s="2">
        <v>-322</v>
      </c>
      <c r="F69" s="2">
        <v>741</v>
      </c>
      <c r="G69" s="2">
        <v>1938</v>
      </c>
    </row>
    <row r="70" spans="1:7" s="10" customFormat="1" x14ac:dyDescent="0.2">
      <c r="A70" s="9" t="s">
        <v>56</v>
      </c>
      <c r="B70" s="10">
        <f>SUM(B65:B69)</f>
        <v>149020</v>
      </c>
      <c r="C70" s="10">
        <f>SUM(C65:C69)</f>
        <v>148665</v>
      </c>
      <c r="D70" s="10">
        <f>SUM(D65:D69)</f>
        <v>-346</v>
      </c>
      <c r="E70" s="10">
        <f>SUM(E65:E69)</f>
        <v>-787</v>
      </c>
      <c r="F70" s="10">
        <f>SUM(F65:F69)</f>
        <v>454</v>
      </c>
      <c r="G70" s="10">
        <f>SUM(G65:G69)</f>
        <v>1338</v>
      </c>
    </row>
    <row r="72" spans="1:7" x14ac:dyDescent="0.2">
      <c r="A72" t="s">
        <v>57</v>
      </c>
      <c r="B72" s="2">
        <f>+B59+B63+B70</f>
        <v>139017</v>
      </c>
      <c r="C72" s="2">
        <f>+C59+C63+C70</f>
        <v>126804</v>
      </c>
      <c r="D72" s="2">
        <f>+D59+D63+D70</f>
        <v>-16844</v>
      </c>
      <c r="E72" s="2">
        <f>+E59+E63+E70</f>
        <v>-29285</v>
      </c>
      <c r="F72" s="2">
        <f>+F59+F63+F70</f>
        <v>-9971</v>
      </c>
      <c r="G72" s="2">
        <f>+G59+G63+G70</f>
        <v>-54346</v>
      </c>
    </row>
    <row r="74" spans="1:7" x14ac:dyDescent="0.2">
      <c r="A74" t="s">
        <v>58</v>
      </c>
      <c r="B74" s="2">
        <f>+B59+B61</f>
        <v>-9548</v>
      </c>
      <c r="C74" s="2">
        <f>+C59+C61</f>
        <v>-21017</v>
      </c>
      <c r="D74" s="2">
        <f>+D59+D61</f>
        <v>-15987</v>
      </c>
      <c r="E74" s="2">
        <f>+E59+E61</f>
        <v>-27481</v>
      </c>
      <c r="F74" s="2">
        <f>+F59+F61</f>
        <v>-9792</v>
      </c>
      <c r="G74" s="2">
        <f>+G59+G61</f>
        <v>-54721</v>
      </c>
    </row>
    <row r="75" spans="1:7" x14ac:dyDescent="0.2">
      <c r="A75" t="s">
        <v>59</v>
      </c>
      <c r="E75" s="2">
        <f t="shared" ref="E75:F75" si="9">+SUM(B74:E74)</f>
        <v>-74033</v>
      </c>
      <c r="F75" s="2">
        <f t="shared" si="9"/>
        <v>-74277</v>
      </c>
      <c r="G75" s="2">
        <f>+SUM(D74:G74)</f>
        <v>-107981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2024-04-23T10:34:28Z</dcterms:created>
  <dcterms:modified xsi:type="dcterms:W3CDTF">2024-04-23T17:43:53Z</dcterms:modified>
</cp:coreProperties>
</file>