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Cybersecurities\"/>
    </mc:Choice>
  </mc:AlternateContent>
  <xr:revisionPtr revIDLastSave="0" documentId="13_ncr:1_{BE2CE356-BF67-468B-A54B-2C65F2CB3ED6}" xr6:coauthVersionLast="47" xr6:coauthVersionMax="47" xr10:uidLastSave="{00000000-0000-0000-0000-000000000000}"/>
  <bookViews>
    <workbookView xWindow="28680" yWindow="-120" windowWidth="29040" windowHeight="15840" activeTab="1" xr2:uid="{19BF8357-6EBB-44CE-AE96-01A056CA10AE}"/>
  </bookViews>
  <sheets>
    <sheet name="Main" sheetId="2" r:id="rId1"/>
    <sheet name="Mod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4" i="1" l="1"/>
  <c r="AD4" i="1" s="1"/>
  <c r="AE4" i="1" s="1"/>
  <c r="AF4" i="1" s="1"/>
  <c r="AG4" i="1" s="1"/>
  <c r="AH4" i="1" s="1"/>
  <c r="AA4" i="1"/>
  <c r="AB4" i="1" s="1"/>
  <c r="U4" i="1"/>
  <c r="V4" i="1" s="1"/>
  <c r="W4" i="1" s="1"/>
  <c r="T4" i="1"/>
  <c r="J84" i="1"/>
  <c r="J73" i="1"/>
  <c r="J74" i="1" s="1"/>
  <c r="J67" i="1"/>
  <c r="J68" i="1" s="1"/>
  <c r="J89" i="1" s="1"/>
  <c r="J46" i="1"/>
  <c r="J45" i="1"/>
  <c r="J49" i="1" s="1"/>
  <c r="J39" i="1"/>
  <c r="J34" i="1"/>
  <c r="I34" i="1"/>
  <c r="J32" i="1"/>
  <c r="J31" i="1" s="1"/>
  <c r="J29" i="1"/>
  <c r="J28" i="1"/>
  <c r="J27" i="1"/>
  <c r="J26" i="1"/>
  <c r="J10" i="1"/>
  <c r="J6" i="1"/>
  <c r="J21" i="1" s="1"/>
  <c r="T7" i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H27" i="1" s="1"/>
  <c r="T5" i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T19" i="1"/>
  <c r="U19" i="1" s="1"/>
  <c r="AK27" i="1"/>
  <c r="W26" i="1" l="1"/>
  <c r="X4" i="1"/>
  <c r="Y4" i="1" s="1"/>
  <c r="Z4" i="1" s="1"/>
  <c r="U26" i="1"/>
  <c r="Y26" i="1"/>
  <c r="X26" i="1"/>
  <c r="U27" i="1"/>
  <c r="AG27" i="1"/>
  <c r="T27" i="1"/>
  <c r="V27" i="1"/>
  <c r="X27" i="1"/>
  <c r="AD27" i="1"/>
  <c r="W27" i="1"/>
  <c r="Y27" i="1"/>
  <c r="Z27" i="1"/>
  <c r="AE27" i="1"/>
  <c r="AA27" i="1"/>
  <c r="V26" i="1"/>
  <c r="AF27" i="1"/>
  <c r="AB27" i="1"/>
  <c r="T26" i="1"/>
  <c r="AC27" i="1"/>
  <c r="J87" i="1"/>
  <c r="J41" i="1"/>
  <c r="J50" i="1" s="1"/>
  <c r="J51" i="1" s="1"/>
  <c r="J11" i="1"/>
  <c r="V19" i="1"/>
  <c r="T9" i="1"/>
  <c r="T8" i="1"/>
  <c r="T6" i="1"/>
  <c r="T21" i="1" s="1"/>
  <c r="I73" i="1"/>
  <c r="I67" i="1"/>
  <c r="H73" i="1"/>
  <c r="H67" i="1"/>
  <c r="G73" i="1"/>
  <c r="G67" i="1"/>
  <c r="F73" i="1"/>
  <c r="F67" i="1"/>
  <c r="E73" i="1"/>
  <c r="D73" i="1"/>
  <c r="C73" i="1"/>
  <c r="E67" i="1"/>
  <c r="D67" i="1"/>
  <c r="C67" i="1"/>
  <c r="H46" i="1"/>
  <c r="H45" i="1"/>
  <c r="H39" i="1"/>
  <c r="H32" i="1"/>
  <c r="G46" i="1"/>
  <c r="G45" i="1"/>
  <c r="G39" i="1"/>
  <c r="G32" i="1"/>
  <c r="F46" i="1"/>
  <c r="F45" i="1"/>
  <c r="F39" i="1"/>
  <c r="F32" i="1"/>
  <c r="D46" i="1"/>
  <c r="D45" i="1"/>
  <c r="D39" i="1"/>
  <c r="D32" i="1"/>
  <c r="C46" i="1"/>
  <c r="C45" i="1"/>
  <c r="C39" i="1"/>
  <c r="C32" i="1"/>
  <c r="B46" i="1"/>
  <c r="B45" i="1"/>
  <c r="B39" i="1"/>
  <c r="B32" i="1"/>
  <c r="R29" i="1"/>
  <c r="Q29" i="1"/>
  <c r="P29" i="1"/>
  <c r="R28" i="1"/>
  <c r="Q28" i="1"/>
  <c r="P28" i="1"/>
  <c r="R27" i="1"/>
  <c r="Q27" i="1"/>
  <c r="P27" i="1"/>
  <c r="S29" i="1"/>
  <c r="S28" i="1"/>
  <c r="S27" i="1"/>
  <c r="H28" i="1"/>
  <c r="H29" i="1"/>
  <c r="G29" i="1"/>
  <c r="F29" i="1"/>
  <c r="G28" i="1"/>
  <c r="F28" i="1"/>
  <c r="H27" i="1"/>
  <c r="G27" i="1"/>
  <c r="F27" i="1"/>
  <c r="I29" i="1"/>
  <c r="I28" i="1"/>
  <c r="I27" i="1"/>
  <c r="Z26" i="1" l="1"/>
  <c r="U9" i="1"/>
  <c r="T29" i="1"/>
  <c r="U8" i="1"/>
  <c r="T28" i="1"/>
  <c r="T10" i="1"/>
  <c r="T11" i="1" s="1"/>
  <c r="J22" i="1"/>
  <c r="J15" i="1"/>
  <c r="J17" i="1" s="1"/>
  <c r="J56" i="1" s="1"/>
  <c r="U6" i="1"/>
  <c r="U21" i="1" s="1"/>
  <c r="W19" i="1"/>
  <c r="E10" i="1"/>
  <c r="D10" i="1"/>
  <c r="R26" i="1"/>
  <c r="Q26" i="1"/>
  <c r="P26" i="1"/>
  <c r="O10" i="1"/>
  <c r="O6" i="1"/>
  <c r="O21" i="1" s="1"/>
  <c r="P10" i="1"/>
  <c r="P6" i="1"/>
  <c r="Q10" i="1"/>
  <c r="Q6" i="1"/>
  <c r="Q21" i="1" s="1"/>
  <c r="S26" i="1"/>
  <c r="F68" i="1"/>
  <c r="F89" i="1" s="1"/>
  <c r="F84" i="1"/>
  <c r="F74" i="1"/>
  <c r="C84" i="1"/>
  <c r="C74" i="1"/>
  <c r="C68" i="1"/>
  <c r="C89" i="1" s="1"/>
  <c r="G84" i="1"/>
  <c r="G74" i="1"/>
  <c r="G68" i="1"/>
  <c r="G89" i="1" s="1"/>
  <c r="C31" i="1"/>
  <c r="D84" i="1"/>
  <c r="D74" i="1"/>
  <c r="D68" i="1"/>
  <c r="D89" i="1" s="1"/>
  <c r="H84" i="1"/>
  <c r="H74" i="1"/>
  <c r="H68" i="1"/>
  <c r="H89" i="1" s="1"/>
  <c r="H31" i="1"/>
  <c r="E84" i="1"/>
  <c r="I84" i="1"/>
  <c r="E74" i="1"/>
  <c r="E68" i="1"/>
  <c r="E89" i="1" s="1"/>
  <c r="H91" i="1" s="1"/>
  <c r="I74" i="1"/>
  <c r="I68" i="1"/>
  <c r="I89" i="1" s="1"/>
  <c r="E46" i="1"/>
  <c r="E45" i="1"/>
  <c r="E39" i="1"/>
  <c r="E34" i="1"/>
  <c r="E32" i="1"/>
  <c r="E31" i="1" s="1"/>
  <c r="I46" i="1"/>
  <c r="I45" i="1"/>
  <c r="I39" i="1"/>
  <c r="I32" i="1"/>
  <c r="I31" i="1" s="1"/>
  <c r="S31" i="1" s="1"/>
  <c r="H26" i="1"/>
  <c r="G26" i="1"/>
  <c r="F26" i="1"/>
  <c r="I26" i="1"/>
  <c r="E21" i="1"/>
  <c r="I10" i="1"/>
  <c r="I6" i="1"/>
  <c r="I21" i="1" s="1"/>
  <c r="V8" i="1" l="1"/>
  <c r="U28" i="1"/>
  <c r="J91" i="1"/>
  <c r="V9" i="1"/>
  <c r="U29" i="1"/>
  <c r="I91" i="1"/>
  <c r="F91" i="1"/>
  <c r="G91" i="1"/>
  <c r="U10" i="1"/>
  <c r="U11" i="1" s="1"/>
  <c r="U22" i="1" s="1"/>
  <c r="AA26" i="1"/>
  <c r="T12" i="1"/>
  <c r="T15" i="1" s="1"/>
  <c r="T17" i="1" s="1"/>
  <c r="AK25" i="1"/>
  <c r="J23" i="1"/>
  <c r="J18" i="1"/>
  <c r="T22" i="1"/>
  <c r="X19" i="1"/>
  <c r="V6" i="1"/>
  <c r="V21" i="1" s="1"/>
  <c r="G41" i="1"/>
  <c r="G49" i="1"/>
  <c r="Q11" i="1"/>
  <c r="Q15" i="1" s="1"/>
  <c r="Q17" i="1" s="1"/>
  <c r="D41" i="1"/>
  <c r="G87" i="1"/>
  <c r="C87" i="1"/>
  <c r="D49" i="1"/>
  <c r="O11" i="1"/>
  <c r="O15" i="1" s="1"/>
  <c r="P11" i="1"/>
  <c r="P15" i="1" s="1"/>
  <c r="P17" i="1" s="1"/>
  <c r="P21" i="1"/>
  <c r="F87" i="1"/>
  <c r="F49" i="1"/>
  <c r="H87" i="1"/>
  <c r="D87" i="1"/>
  <c r="G31" i="1"/>
  <c r="D31" i="1"/>
  <c r="H49" i="1"/>
  <c r="C41" i="1"/>
  <c r="C49" i="1"/>
  <c r="B49" i="1"/>
  <c r="B41" i="1"/>
  <c r="B31" i="1"/>
  <c r="F41" i="1"/>
  <c r="F31" i="1"/>
  <c r="I49" i="1"/>
  <c r="E87" i="1"/>
  <c r="H41" i="1"/>
  <c r="E41" i="1"/>
  <c r="I87" i="1"/>
  <c r="I41" i="1"/>
  <c r="E49" i="1"/>
  <c r="E11" i="1"/>
  <c r="I11" i="1"/>
  <c r="I15" i="1" s="1"/>
  <c r="I17" i="1" s="1"/>
  <c r="I18" i="1" s="1"/>
  <c r="AB26" i="1" l="1"/>
  <c r="W9" i="1"/>
  <c r="V29" i="1"/>
  <c r="W8" i="1"/>
  <c r="V28" i="1"/>
  <c r="V10" i="1"/>
  <c r="T31" i="1"/>
  <c r="U12" i="1" s="1"/>
  <c r="U15" i="1" s="1"/>
  <c r="U17" i="1" s="1"/>
  <c r="T18" i="1"/>
  <c r="V11" i="1"/>
  <c r="V22" i="1" s="1"/>
  <c r="Y19" i="1"/>
  <c r="W6" i="1"/>
  <c r="W21" i="1" s="1"/>
  <c r="D50" i="1"/>
  <c r="D51" i="1" s="1"/>
  <c r="G50" i="1"/>
  <c r="G51" i="1" s="1"/>
  <c r="E50" i="1"/>
  <c r="E51" i="1" s="1"/>
  <c r="Q22" i="1"/>
  <c r="F50" i="1"/>
  <c r="F51" i="1" s="1"/>
  <c r="B50" i="1"/>
  <c r="B51" i="1" s="1"/>
  <c r="C50" i="1"/>
  <c r="C51" i="1" s="1"/>
  <c r="H50" i="1"/>
  <c r="H51" i="1" s="1"/>
  <c r="Q18" i="1"/>
  <c r="Q23" i="1"/>
  <c r="O22" i="1"/>
  <c r="O17" i="1"/>
  <c r="P22" i="1"/>
  <c r="P18" i="1"/>
  <c r="P23" i="1"/>
  <c r="I50" i="1"/>
  <c r="I51" i="1" s="1"/>
  <c r="E22" i="1"/>
  <c r="E15" i="1"/>
  <c r="E17" i="1" s="1"/>
  <c r="I22" i="1"/>
  <c r="I23" i="1"/>
  <c r="R10" i="1"/>
  <c r="R6" i="1"/>
  <c r="R21" i="1" s="1"/>
  <c r="S10" i="1"/>
  <c r="S6" i="1"/>
  <c r="Q3" i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B10" i="1"/>
  <c r="B6" i="1"/>
  <c r="B21" i="1" s="1"/>
  <c r="F10" i="1"/>
  <c r="F6" i="1"/>
  <c r="F21" i="1" s="1"/>
  <c r="C10" i="1"/>
  <c r="C6" i="1"/>
  <c r="C21" i="1" s="1"/>
  <c r="G10" i="1"/>
  <c r="G6" i="1"/>
  <c r="G21" i="1" s="1"/>
  <c r="D6" i="1"/>
  <c r="D21" i="1" s="1"/>
  <c r="H10" i="1"/>
  <c r="H6" i="1"/>
  <c r="H21" i="1" s="1"/>
  <c r="D6" i="2"/>
  <c r="D5" i="2"/>
  <c r="D8" i="2" s="1"/>
  <c r="D10" i="2" s="1"/>
  <c r="X8" i="1" l="1"/>
  <c r="W28" i="1"/>
  <c r="W10" i="1"/>
  <c r="E18" i="1"/>
  <c r="X9" i="1"/>
  <c r="W29" i="1"/>
  <c r="AC26" i="1"/>
  <c r="W11" i="1"/>
  <c r="W22" i="1" s="1"/>
  <c r="U31" i="1"/>
  <c r="V12" i="1" s="1"/>
  <c r="V15" i="1" s="1"/>
  <c r="V16" i="1" s="1"/>
  <c r="V17" i="1" s="1"/>
  <c r="U18" i="1"/>
  <c r="Z19" i="1"/>
  <c r="AA19" i="1" s="1"/>
  <c r="X6" i="1"/>
  <c r="X21" i="1" s="1"/>
  <c r="O23" i="1"/>
  <c r="O18" i="1"/>
  <c r="E23" i="1"/>
  <c r="R11" i="1"/>
  <c r="S11" i="1"/>
  <c r="S15" i="1" s="1"/>
  <c r="S17" i="1" s="1"/>
  <c r="S21" i="1"/>
  <c r="B11" i="1"/>
  <c r="F11" i="1"/>
  <c r="C11" i="1"/>
  <c r="G11" i="1"/>
  <c r="D11" i="1"/>
  <c r="H11" i="1"/>
  <c r="Y9" i="1" l="1"/>
  <c r="X29" i="1"/>
  <c r="AD26" i="1"/>
  <c r="Y8" i="1"/>
  <c r="X28" i="1"/>
  <c r="X10" i="1"/>
  <c r="V31" i="1"/>
  <c r="W12" i="1" s="1"/>
  <c r="W15" i="1" s="1"/>
  <c r="W16" i="1" s="1"/>
  <c r="V18" i="1"/>
  <c r="X11" i="1"/>
  <c r="X22" i="1" s="1"/>
  <c r="AB19" i="1"/>
  <c r="AC19" i="1" s="1"/>
  <c r="Y6" i="1"/>
  <c r="Y21" i="1" s="1"/>
  <c r="H15" i="1"/>
  <c r="H17" i="1" s="1"/>
  <c r="H18" i="1" s="1"/>
  <c r="H22" i="1"/>
  <c r="R22" i="1"/>
  <c r="R15" i="1"/>
  <c r="R17" i="1" s="1"/>
  <c r="S22" i="1"/>
  <c r="S23" i="1"/>
  <c r="S18" i="1"/>
  <c r="B22" i="1"/>
  <c r="B15" i="1"/>
  <c r="B17" i="1" s="1"/>
  <c r="F22" i="1"/>
  <c r="F15" i="1"/>
  <c r="F17" i="1" s="1"/>
  <c r="C22" i="1"/>
  <c r="C15" i="1"/>
  <c r="C17" i="1" s="1"/>
  <c r="G22" i="1"/>
  <c r="G15" i="1"/>
  <c r="G17" i="1" s="1"/>
  <c r="D22" i="1"/>
  <c r="D15" i="1"/>
  <c r="D17" i="1" s="1"/>
  <c r="G18" i="1" l="1"/>
  <c r="J53" i="1"/>
  <c r="J54" i="1" s="1"/>
  <c r="F18" i="1"/>
  <c r="I53" i="1"/>
  <c r="I54" i="1" s="1"/>
  <c r="H53" i="1"/>
  <c r="H54" i="1" s="1"/>
  <c r="B18" i="1"/>
  <c r="E53" i="1"/>
  <c r="E54" i="1" s="1"/>
  <c r="D18" i="1"/>
  <c r="G53" i="1"/>
  <c r="G54" i="1" s="1"/>
  <c r="Z8" i="1"/>
  <c r="Y28" i="1"/>
  <c r="Y10" i="1"/>
  <c r="Y11" i="1" s="1"/>
  <c r="Y22" i="1" s="1"/>
  <c r="AE26" i="1"/>
  <c r="C18" i="1"/>
  <c r="F53" i="1"/>
  <c r="F54" i="1" s="1"/>
  <c r="Z9" i="1"/>
  <c r="Y29" i="1"/>
  <c r="AD19" i="1"/>
  <c r="Z6" i="1"/>
  <c r="Z21" i="1" s="1"/>
  <c r="H23" i="1"/>
  <c r="R23" i="1"/>
  <c r="R18" i="1"/>
  <c r="B23" i="1"/>
  <c r="F23" i="1"/>
  <c r="C23" i="1"/>
  <c r="G23" i="1"/>
  <c r="D23" i="1"/>
  <c r="AA8" i="1" l="1"/>
  <c r="Z28" i="1"/>
  <c r="Z10" i="1"/>
  <c r="AA9" i="1"/>
  <c r="Z29" i="1"/>
  <c r="AF26" i="1"/>
  <c r="Z11" i="1"/>
  <c r="Z22" i="1" s="1"/>
  <c r="AE19" i="1"/>
  <c r="AF19" i="1" s="1"/>
  <c r="AA6" i="1"/>
  <c r="AA21" i="1" s="1"/>
  <c r="AH26" i="1" l="1"/>
  <c r="AG26" i="1"/>
  <c r="AB9" i="1"/>
  <c r="AA29" i="1"/>
  <c r="AB8" i="1"/>
  <c r="AA28" i="1"/>
  <c r="AA10" i="1"/>
  <c r="AA11" i="1" s="1"/>
  <c r="AA22" i="1" s="1"/>
  <c r="AG19" i="1"/>
  <c r="AH19" i="1" s="1"/>
  <c r="AB6" i="1"/>
  <c r="AB21" i="1" s="1"/>
  <c r="AC9" i="1" l="1"/>
  <c r="AB29" i="1"/>
  <c r="AC8" i="1"/>
  <c r="AB28" i="1"/>
  <c r="AB10" i="1"/>
  <c r="AB11" i="1"/>
  <c r="AB22" i="1" s="1"/>
  <c r="AC6" i="1"/>
  <c r="AC21" i="1" s="1"/>
  <c r="AD8" i="1" l="1"/>
  <c r="AC28" i="1"/>
  <c r="AC10" i="1"/>
  <c r="AD9" i="1"/>
  <c r="AC29" i="1"/>
  <c r="AC11" i="1"/>
  <c r="AC22" i="1" s="1"/>
  <c r="AD6" i="1"/>
  <c r="AD21" i="1" s="1"/>
  <c r="AE9" i="1" l="1"/>
  <c r="AD29" i="1"/>
  <c r="AE8" i="1"/>
  <c r="AD28" i="1"/>
  <c r="AD10" i="1"/>
  <c r="AD11" i="1" s="1"/>
  <c r="AD22" i="1" s="1"/>
  <c r="AE6" i="1"/>
  <c r="AE21" i="1" s="1"/>
  <c r="AF8" i="1" l="1"/>
  <c r="AE28" i="1"/>
  <c r="AE10" i="1"/>
  <c r="AE11" i="1" s="1"/>
  <c r="AE22" i="1" s="1"/>
  <c r="AF9" i="1"/>
  <c r="AE29" i="1"/>
  <c r="AF6" i="1"/>
  <c r="AF21" i="1" s="1"/>
  <c r="AG9" i="1" l="1"/>
  <c r="AF29" i="1"/>
  <c r="AG8" i="1"/>
  <c r="AF28" i="1"/>
  <c r="AF10" i="1"/>
  <c r="AF11" i="1"/>
  <c r="AF22" i="1" s="1"/>
  <c r="AG6" i="1"/>
  <c r="AG21" i="1" s="1"/>
  <c r="AH8" i="1" l="1"/>
  <c r="AG28" i="1"/>
  <c r="AG10" i="1"/>
  <c r="AH9" i="1"/>
  <c r="AH29" i="1" s="1"/>
  <c r="AG29" i="1"/>
  <c r="AG11" i="1"/>
  <c r="AG22" i="1" s="1"/>
  <c r="AH6" i="1"/>
  <c r="AH21" i="1" s="1"/>
  <c r="AH28" i="1" l="1"/>
  <c r="AH10" i="1"/>
  <c r="AH11" i="1"/>
  <c r="AH22" i="1" s="1"/>
  <c r="W24" i="1"/>
  <c r="W17" i="1"/>
  <c r="W31" i="1" s="1"/>
  <c r="X12" i="1" l="1"/>
  <c r="W18" i="1"/>
  <c r="X15" i="1" l="1"/>
  <c r="X16" i="1" s="1"/>
  <c r="X24" i="1" l="1"/>
  <c r="X17" i="1" l="1"/>
  <c r="X18" i="1" l="1"/>
  <c r="X31" i="1"/>
  <c r="Y12" i="1" l="1"/>
  <c r="Y15" i="1" l="1"/>
  <c r="Y16" i="1" l="1"/>
  <c r="Y24" i="1" s="1"/>
  <c r="Y17" i="1" l="1"/>
  <c r="Y31" i="1" s="1"/>
  <c r="Y18" i="1"/>
  <c r="Z12" i="1" l="1"/>
  <c r="Z15" i="1" l="1"/>
  <c r="Z16" i="1" l="1"/>
  <c r="Z24" i="1" s="1"/>
  <c r="Z17" i="1" l="1"/>
  <c r="Z18" i="1" s="1"/>
  <c r="Z31" i="1" l="1"/>
  <c r="AA12" i="1" s="1"/>
  <c r="AA15" i="1" l="1"/>
  <c r="AA16" i="1" l="1"/>
  <c r="AA24" i="1" s="1"/>
  <c r="AA17" i="1" l="1"/>
  <c r="AA31" i="1" s="1"/>
  <c r="AA18" i="1" l="1"/>
  <c r="AB12" i="1"/>
  <c r="AB15" i="1" l="1"/>
  <c r="AB16" i="1" l="1"/>
  <c r="AB24" i="1" s="1"/>
  <c r="AB17" i="1" l="1"/>
  <c r="AB18" i="1" l="1"/>
  <c r="AB31" i="1"/>
  <c r="AC12" i="1" l="1"/>
  <c r="AC15" i="1" l="1"/>
  <c r="AC16" i="1" l="1"/>
  <c r="AC24" i="1" s="1"/>
  <c r="AC17" i="1" l="1"/>
  <c r="AC18" i="1" s="1"/>
  <c r="AC31" i="1" l="1"/>
  <c r="AD12" i="1" s="1"/>
  <c r="AD15" i="1" l="1"/>
  <c r="AD16" i="1" l="1"/>
  <c r="AD24" i="1" s="1"/>
  <c r="AD17" i="1" l="1"/>
  <c r="AD31" i="1" s="1"/>
  <c r="AD18" i="1"/>
  <c r="AE12" i="1" l="1"/>
  <c r="AE15" i="1" l="1"/>
  <c r="AE16" i="1" l="1"/>
  <c r="AE24" i="1" s="1"/>
  <c r="AE17" i="1" l="1"/>
  <c r="AE18" i="1" l="1"/>
  <c r="AE31" i="1"/>
  <c r="AF12" i="1" l="1"/>
  <c r="AF15" i="1" l="1"/>
  <c r="AF16" i="1" l="1"/>
  <c r="AF24" i="1" s="1"/>
  <c r="AF17" i="1" l="1"/>
  <c r="AF18" i="1" l="1"/>
  <c r="AF31" i="1"/>
  <c r="AG12" i="1" l="1"/>
  <c r="AG15" i="1" l="1"/>
  <c r="AG16" i="1" l="1"/>
  <c r="AG24" i="1" s="1"/>
  <c r="AG17" i="1" l="1"/>
  <c r="AG18" i="1" s="1"/>
  <c r="AG31" i="1" l="1"/>
  <c r="AH12" i="1" s="1"/>
  <c r="AH15" i="1" l="1"/>
  <c r="AH16" i="1" l="1"/>
  <c r="AH24" i="1" s="1"/>
  <c r="AH17" i="1" l="1"/>
  <c r="AI17" i="1" s="1"/>
  <c r="AH18" i="1"/>
  <c r="AH31" i="1"/>
  <c r="AJ17" i="1" l="1"/>
  <c r="AK17" i="1" s="1"/>
  <c r="AL17" i="1" s="1"/>
  <c r="AM17" i="1" s="1"/>
  <c r="AN17" i="1" s="1"/>
  <c r="AO17" i="1" s="1"/>
  <c r="AP17" i="1" s="1"/>
  <c r="AQ17" i="1" s="1"/>
  <c r="AR17" i="1" s="1"/>
  <c r="AS17" i="1" s="1"/>
  <c r="AT17" i="1" s="1"/>
  <c r="AU17" i="1" s="1"/>
  <c r="AV17" i="1" s="1"/>
  <c r="AW17" i="1" s="1"/>
  <c r="AX17" i="1" s="1"/>
  <c r="AY17" i="1" s="1"/>
  <c r="AZ17" i="1" s="1"/>
  <c r="BA17" i="1" s="1"/>
  <c r="BB17" i="1" s="1"/>
  <c r="BC17" i="1" s="1"/>
  <c r="BD17" i="1" s="1"/>
  <c r="BE17" i="1" s="1"/>
  <c r="BF17" i="1" s="1"/>
  <c r="BG17" i="1" s="1"/>
  <c r="BH17" i="1" s="1"/>
  <c r="BI17" i="1" s="1"/>
  <c r="BJ17" i="1" s="1"/>
  <c r="BK17" i="1" s="1"/>
  <c r="BL17" i="1" s="1"/>
  <c r="BM17" i="1" s="1"/>
  <c r="BN17" i="1" s="1"/>
  <c r="BO17" i="1" s="1"/>
  <c r="BP17" i="1" s="1"/>
  <c r="BQ17" i="1" s="1"/>
  <c r="BR17" i="1" s="1"/>
  <c r="BS17" i="1" s="1"/>
  <c r="BT17" i="1" s="1"/>
  <c r="BU17" i="1" s="1"/>
  <c r="BV17" i="1" s="1"/>
  <c r="BW17" i="1" s="1"/>
  <c r="BX17" i="1" s="1"/>
  <c r="BY17" i="1" s="1"/>
  <c r="BZ17" i="1" s="1"/>
  <c r="CA17" i="1" s="1"/>
  <c r="CB17" i="1" s="1"/>
  <c r="CC17" i="1" s="1"/>
  <c r="CD17" i="1" s="1"/>
  <c r="CE17" i="1" s="1"/>
  <c r="CF17" i="1" s="1"/>
  <c r="CG17" i="1" s="1"/>
  <c r="CH17" i="1" s="1"/>
  <c r="CI17" i="1" s="1"/>
  <c r="CJ17" i="1" s="1"/>
  <c r="CK17" i="1" s="1"/>
  <c r="CL17" i="1" s="1"/>
  <c r="CM17" i="1" s="1"/>
  <c r="CN17" i="1" s="1"/>
  <c r="CO17" i="1" s="1"/>
  <c r="CP17" i="1" s="1"/>
  <c r="CQ17" i="1" s="1"/>
  <c r="CR17" i="1" s="1"/>
  <c r="CS17" i="1" s="1"/>
  <c r="CT17" i="1" s="1"/>
  <c r="CU17" i="1" s="1"/>
  <c r="CV17" i="1" s="1"/>
  <c r="CW17" i="1" s="1"/>
  <c r="CX17" i="1" s="1"/>
  <c r="CY17" i="1" s="1"/>
  <c r="CZ17" i="1" s="1"/>
  <c r="DA17" i="1" s="1"/>
  <c r="DB17" i="1" s="1"/>
  <c r="DC17" i="1" s="1"/>
  <c r="DD17" i="1" s="1"/>
  <c r="DE17" i="1" s="1"/>
  <c r="DF17" i="1" s="1"/>
  <c r="DG17" i="1" s="1"/>
  <c r="DH17" i="1" s="1"/>
  <c r="DI17" i="1" s="1"/>
  <c r="DJ17" i="1" s="1"/>
  <c r="DK17" i="1" s="1"/>
  <c r="DL17" i="1" s="1"/>
  <c r="DM17" i="1" s="1"/>
  <c r="DN17" i="1" s="1"/>
  <c r="DO17" i="1" s="1"/>
  <c r="DP17" i="1" s="1"/>
  <c r="DQ17" i="1" s="1"/>
  <c r="DR17" i="1" s="1"/>
  <c r="DS17" i="1" s="1"/>
  <c r="DT17" i="1" s="1"/>
  <c r="DU17" i="1" s="1"/>
  <c r="DV17" i="1" s="1"/>
  <c r="DW17" i="1" s="1"/>
  <c r="DX17" i="1" s="1"/>
  <c r="DY17" i="1" s="1"/>
  <c r="DZ17" i="1" s="1"/>
  <c r="EA17" i="1" s="1"/>
  <c r="EB17" i="1" s="1"/>
  <c r="EC17" i="1" s="1"/>
  <c r="ED17" i="1" s="1"/>
  <c r="EE17" i="1" s="1"/>
  <c r="AK24" i="1" s="1"/>
  <c r="AK26" i="1" s="1"/>
  <c r="AK28" i="1" s="1"/>
  <c r="AK29" i="1" s="1"/>
</calcChain>
</file>

<file path=xl/sharedStrings.xml><?xml version="1.0" encoding="utf-8"?>
<sst xmlns="http://schemas.openxmlformats.org/spreadsheetml/2006/main" count="114" uniqueCount="99">
  <si>
    <t>Pagerduty</t>
  </si>
  <si>
    <t>(PD)</t>
  </si>
  <si>
    <t>(in millions)</t>
  </si>
  <si>
    <t>Revenue</t>
  </si>
  <si>
    <t>COGS</t>
  </si>
  <si>
    <t>Gross profit</t>
  </si>
  <si>
    <t>R&amp;D</t>
  </si>
  <si>
    <t>S&amp;M</t>
  </si>
  <si>
    <t>G&amp;A</t>
  </si>
  <si>
    <t>Operating expense</t>
  </si>
  <si>
    <t>Operating profit(loss)</t>
  </si>
  <si>
    <t>Interest income</t>
  </si>
  <si>
    <t>Interest expense</t>
  </si>
  <si>
    <t>Pretax income</t>
  </si>
  <si>
    <t>Taxes</t>
  </si>
  <si>
    <t>Net income</t>
  </si>
  <si>
    <t>EPS</t>
  </si>
  <si>
    <t>Shares</t>
  </si>
  <si>
    <t>Gross margin %</t>
  </si>
  <si>
    <t>Operating margin %</t>
  </si>
  <si>
    <t>Net margin %</t>
  </si>
  <si>
    <t>Revenue y/y</t>
  </si>
  <si>
    <t>Q323</t>
  </si>
  <si>
    <t>Q223</t>
  </si>
  <si>
    <t>Q123</t>
  </si>
  <si>
    <t>Q322</t>
  </si>
  <si>
    <t>Q222</t>
  </si>
  <si>
    <t>Q122</t>
  </si>
  <si>
    <t>Price</t>
  </si>
  <si>
    <t>MC</t>
  </si>
  <si>
    <t>Cash</t>
  </si>
  <si>
    <t>Debt</t>
  </si>
  <si>
    <t>EV</t>
  </si>
  <si>
    <t>Q423</t>
  </si>
  <si>
    <t>Tax rate %</t>
  </si>
  <si>
    <t>Q124</t>
  </si>
  <si>
    <t>Q224</t>
  </si>
  <si>
    <t>Q324</t>
  </si>
  <si>
    <t>Q425</t>
  </si>
  <si>
    <t>Net cash</t>
  </si>
  <si>
    <t>A/R</t>
  </si>
  <si>
    <t>DCC</t>
  </si>
  <si>
    <t>Prepaid</t>
  </si>
  <si>
    <t>PP&amp;E</t>
  </si>
  <si>
    <t>Lease</t>
  </si>
  <si>
    <t>Goodwill</t>
  </si>
  <si>
    <t>A/P</t>
  </si>
  <si>
    <t>Accrued expenses</t>
  </si>
  <si>
    <t>Accrued compensation</t>
  </si>
  <si>
    <t>D/R</t>
  </si>
  <si>
    <t>Total liabilies</t>
  </si>
  <si>
    <t>Total assets</t>
  </si>
  <si>
    <t>S/E</t>
  </si>
  <si>
    <t>L+S/E</t>
  </si>
  <si>
    <t>Model IN</t>
  </si>
  <si>
    <t>Reported NI</t>
  </si>
  <si>
    <t>D&amp;A</t>
  </si>
  <si>
    <t>Amor deferred contract cost</t>
  </si>
  <si>
    <t>Convertible senior notes</t>
  </si>
  <si>
    <t>SBC</t>
  </si>
  <si>
    <t>Amor debt cost</t>
  </si>
  <si>
    <t>Lease expense</t>
  </si>
  <si>
    <t>Impairment</t>
  </si>
  <si>
    <t>Tax benefit</t>
  </si>
  <si>
    <t>Other</t>
  </si>
  <si>
    <t>Working capital</t>
  </si>
  <si>
    <t>CFFO</t>
  </si>
  <si>
    <t>CapEx</t>
  </si>
  <si>
    <t>CUSC</t>
  </si>
  <si>
    <t>Acquisition</t>
  </si>
  <si>
    <t>Investments</t>
  </si>
  <si>
    <t>CFFI</t>
  </si>
  <si>
    <t>Stock purchase plan</t>
  </si>
  <si>
    <t>CFFF</t>
  </si>
  <si>
    <t>FX</t>
  </si>
  <si>
    <t>CIC</t>
  </si>
  <si>
    <t>CFFO+CapEx-SBC</t>
  </si>
  <si>
    <t>NCI</t>
  </si>
  <si>
    <t>SBC tax</t>
  </si>
  <si>
    <t>Stock option exercise</t>
  </si>
  <si>
    <t>Issuance SN</t>
  </si>
  <si>
    <t>Calls SN</t>
  </si>
  <si>
    <t>Repurchases SN</t>
  </si>
  <si>
    <t>Buyback</t>
  </si>
  <si>
    <t>Deferred cost</t>
  </si>
  <si>
    <t>R&amp;D y/y</t>
  </si>
  <si>
    <t>S&amp;M y/y</t>
  </si>
  <si>
    <t>G&amp;A y/y</t>
  </si>
  <si>
    <t>ROIC</t>
  </si>
  <si>
    <t>Maturity value</t>
  </si>
  <si>
    <t>Discount rate</t>
  </si>
  <si>
    <t>NPV</t>
  </si>
  <si>
    <t>Total value</t>
  </si>
  <si>
    <t>Current price</t>
  </si>
  <si>
    <t>Share price</t>
  </si>
  <si>
    <t>Other expense</t>
  </si>
  <si>
    <t>Cash flow TTM</t>
  </si>
  <si>
    <t>FCF</t>
  </si>
  <si>
    <t>Upside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</si>
</sst>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,"/>
    <numFmt numFmtId="165" formatCode="0\x"/>
  </numFmts>
  <fonts count="11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2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29">
    <xf numFmtId="0" fontId="0" fillId="0" borderId="0" xfId="0"/>
    <xf numFmtId="3" fontId="7" fillId="0" borderId="0" xfId="0" applyNumberFormat="1" applyFont="1"/>
    <xf numFmtId="14" fontId="7" fillId="0" borderId="0" xfId="0" applyNumberFormat="1" applyFont="1" applyAlignment="1">
      <alignment horizontal="right"/>
    </xf>
    <xf numFmtId="3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3" fontId="9" fillId="0" borderId="0" xfId="0" applyNumberFormat="1" applyFont="1"/>
    <xf numFmtId="4" fontId="7" fillId="0" borderId="0" xfId="0" applyNumberFormat="1" applyFont="1"/>
    <xf numFmtId="9" fontId="7" fillId="0" borderId="0" xfId="1" applyFont="1"/>
    <xf numFmtId="9" fontId="9" fillId="0" borderId="0" xfId="1" applyFont="1"/>
    <xf numFmtId="3" fontId="10" fillId="0" borderId="0" xfId="0" applyNumberFormat="1" applyFont="1"/>
    <xf numFmtId="164" fontId="7" fillId="0" borderId="0" xfId="0" applyNumberFormat="1" applyFont="1"/>
    <xf numFmtId="9" fontId="6" fillId="0" borderId="0" xfId="1" applyFont="1"/>
    <xf numFmtId="9" fontId="7" fillId="0" borderId="0" xfId="1" applyFont="1" applyFill="1"/>
    <xf numFmtId="3" fontId="6" fillId="0" borderId="0" xfId="0" applyNumberFormat="1" applyFont="1"/>
    <xf numFmtId="3" fontId="7" fillId="0" borderId="0" xfId="1" applyNumberFormat="1" applyFont="1"/>
    <xf numFmtId="3" fontId="6" fillId="0" borderId="0" xfId="1" applyNumberFormat="1" applyFont="1"/>
    <xf numFmtId="0" fontId="10" fillId="0" borderId="0" xfId="0" applyFont="1"/>
    <xf numFmtId="0" fontId="5" fillId="0" borderId="0" xfId="0" applyFont="1"/>
    <xf numFmtId="3" fontId="5" fillId="0" borderId="0" xfId="0" applyNumberFormat="1" applyFont="1"/>
    <xf numFmtId="165" fontId="5" fillId="0" borderId="0" xfId="0" applyNumberFormat="1" applyFont="1"/>
    <xf numFmtId="0" fontId="5" fillId="0" borderId="0" xfId="0" applyFont="1" applyAlignment="1">
      <alignment horizontal="right"/>
    </xf>
    <xf numFmtId="3" fontId="4" fillId="0" borderId="0" xfId="0" applyNumberFormat="1" applyFont="1" applyAlignment="1">
      <alignment horizontal="right"/>
    </xf>
    <xf numFmtId="3" fontId="3" fillId="0" borderId="0" xfId="0" applyNumberFormat="1" applyFont="1"/>
    <xf numFmtId="164" fontId="9" fillId="0" borderId="0" xfId="0" applyNumberFormat="1" applyFont="1"/>
    <xf numFmtId="3" fontId="2" fillId="0" borderId="0" xfId="0" applyNumberFormat="1" applyFont="1"/>
    <xf numFmtId="9" fontId="2" fillId="0" borderId="0" xfId="0" applyNumberFormat="1" applyFont="1"/>
    <xf numFmtId="9" fontId="7" fillId="0" borderId="0" xfId="0" applyNumberFormat="1" applyFont="1"/>
    <xf numFmtId="9" fontId="1" fillId="0" borderId="0" xfId="1" applyFont="1"/>
    <xf numFmtId="0" fontId="1" fillId="0" borderId="0" xfId="0" applyFont="1" applyAlignment="1">
      <alignment horizontal="right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0</xdr:row>
      <xdr:rowOff>133350</xdr:rowOff>
    </xdr:from>
    <xdr:to>
      <xdr:col>19</xdr:col>
      <xdr:colOff>28575</xdr:colOff>
      <xdr:row>44</xdr:row>
      <xdr:rowOff>85725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7432F49-5F9A-845E-69A2-1443D0F3491A}"/>
            </a:ext>
          </a:extLst>
        </xdr:cNvPr>
        <xdr:cNvCxnSpPr/>
      </xdr:nvCxnSpPr>
      <xdr:spPr>
        <a:xfrm>
          <a:off x="12668250" y="133350"/>
          <a:ext cx="19050" cy="76485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0</xdr:row>
      <xdr:rowOff>142875</xdr:rowOff>
    </xdr:from>
    <xdr:to>
      <xdr:col>10</xdr:col>
      <xdr:colOff>19050</xdr:colOff>
      <xdr:row>90</xdr:row>
      <xdr:rowOff>85725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D791790-B82F-824C-E03F-8A30E2650DC0}"/>
            </a:ext>
          </a:extLst>
        </xdr:cNvPr>
        <xdr:cNvCxnSpPr/>
      </xdr:nvCxnSpPr>
      <xdr:spPr>
        <a:xfrm>
          <a:off x="7991475" y="142875"/>
          <a:ext cx="0" cy="14306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E809F-4CAA-4F7F-9C6B-3CF19F200FE6}">
  <dimension ref="A1:E10"/>
  <sheetViews>
    <sheetView workbookViewId="0">
      <selection activeCell="E6" sqref="E6"/>
    </sheetView>
  </sheetViews>
  <sheetFormatPr defaultRowHeight="12.75" x14ac:dyDescent="0.2"/>
  <cols>
    <col min="1" max="1" width="26.42578125" style="17" bestFit="1" customWidth="1"/>
    <col min="2" max="16384" width="9.140625" style="17"/>
  </cols>
  <sheetData>
    <row r="1" spans="1:5" ht="34.5" x14ac:dyDescent="0.45">
      <c r="A1" s="16" t="s">
        <v>0</v>
      </c>
    </row>
    <row r="2" spans="1:5" x14ac:dyDescent="0.2">
      <c r="A2" s="17" t="s">
        <v>1</v>
      </c>
    </row>
    <row r="3" spans="1:5" x14ac:dyDescent="0.2">
      <c r="A3" s="17" t="s">
        <v>2</v>
      </c>
      <c r="C3" s="17" t="s">
        <v>28</v>
      </c>
      <c r="D3" s="17">
        <v>20.5</v>
      </c>
    </row>
    <row r="4" spans="1:5" x14ac:dyDescent="0.2">
      <c r="C4" s="17" t="s">
        <v>17</v>
      </c>
      <c r="D4" s="18">
        <v>92.751589999999993</v>
      </c>
      <c r="E4" s="28" t="s">
        <v>35</v>
      </c>
    </row>
    <row r="5" spans="1:5" x14ac:dyDescent="0.2">
      <c r="C5" s="17" t="s">
        <v>29</v>
      </c>
      <c r="D5" s="18">
        <f>+D4*D3</f>
        <v>1901.4075949999999</v>
      </c>
      <c r="E5" s="20"/>
    </row>
    <row r="6" spans="1:5" x14ac:dyDescent="0.2">
      <c r="C6" s="17" t="s">
        <v>30</v>
      </c>
      <c r="D6" s="18">
        <f>363.011+208.178</f>
        <v>571.18900000000008</v>
      </c>
      <c r="E6" s="28" t="s">
        <v>35</v>
      </c>
    </row>
    <row r="7" spans="1:5" x14ac:dyDescent="0.2">
      <c r="C7" s="17" t="s">
        <v>31</v>
      </c>
      <c r="D7" s="18">
        <v>448.03</v>
      </c>
      <c r="E7" s="28" t="s">
        <v>35</v>
      </c>
    </row>
    <row r="8" spans="1:5" x14ac:dyDescent="0.2">
      <c r="C8" s="17" t="s">
        <v>32</v>
      </c>
      <c r="D8" s="18">
        <f>+D5-D6+D7</f>
        <v>1778.2485949999998</v>
      </c>
    </row>
    <row r="9" spans="1:5" x14ac:dyDescent="0.2">
      <c r="D9" s="17">
        <v>353</v>
      </c>
    </row>
    <row r="10" spans="1:5" x14ac:dyDescent="0.2">
      <c r="D10" s="19">
        <f>+D8/D9</f>
        <v>5.0375314305949006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1F771-C231-4D24-A3D9-301998BB3D40}">
  <dimension ref="A1:EE91"/>
  <sheetViews>
    <sheetView tabSelected="1" workbookViewId="0">
      <pane xSplit="1" ySplit="3" topLeftCell="H4" activePane="bottomRight" state="frozen"/>
      <selection pane="topRight" activeCell="B1" sqref="B1"/>
      <selection pane="bottomLeft" activeCell="A4" sqref="A4"/>
      <selection pane="bottomRight" activeCell="M24" sqref="M24"/>
    </sheetView>
  </sheetViews>
  <sheetFormatPr defaultRowHeight="12.75" x14ac:dyDescent="0.2"/>
  <cols>
    <col min="1" max="1" width="26.42578125" style="1" bestFit="1" customWidth="1"/>
    <col min="2" max="7" width="10.42578125" style="1" bestFit="1" customWidth="1"/>
    <col min="8" max="8" width="11" style="1" bestFit="1" customWidth="1"/>
    <col min="9" max="9" width="10.42578125" style="1" bestFit="1" customWidth="1"/>
    <col min="10" max="10" width="10.140625" style="1" bestFit="1" customWidth="1"/>
    <col min="11" max="34" width="9.140625" style="1"/>
    <col min="35" max="35" width="9.140625" style="1" customWidth="1"/>
    <col min="36" max="36" width="12.42578125" style="1" bestFit="1" customWidth="1"/>
    <col min="37" max="37" width="8.85546875" style="1" customWidth="1"/>
    <col min="38" max="16384" width="9.140625" style="1"/>
  </cols>
  <sheetData>
    <row r="1" spans="1:34" ht="34.5" x14ac:dyDescent="0.45">
      <c r="A1" s="9" t="s">
        <v>0</v>
      </c>
    </row>
    <row r="2" spans="1:34" s="3" customFormat="1" x14ac:dyDescent="0.2">
      <c r="A2" s="1" t="s">
        <v>1</v>
      </c>
      <c r="B2" s="2">
        <v>44681</v>
      </c>
      <c r="C2" s="2">
        <v>44773</v>
      </c>
      <c r="D2" s="2">
        <v>44865</v>
      </c>
      <c r="E2" s="2">
        <v>44957</v>
      </c>
      <c r="F2" s="2">
        <v>45046</v>
      </c>
      <c r="G2" s="2">
        <v>45138</v>
      </c>
      <c r="H2" s="2">
        <v>45230</v>
      </c>
      <c r="I2" s="2">
        <v>45322</v>
      </c>
      <c r="J2" s="2">
        <v>45412</v>
      </c>
    </row>
    <row r="3" spans="1:34" s="3" customFormat="1" x14ac:dyDescent="0.2">
      <c r="A3" s="1" t="s">
        <v>2</v>
      </c>
      <c r="B3" s="3" t="s">
        <v>27</v>
      </c>
      <c r="C3" s="3" t="s">
        <v>26</v>
      </c>
      <c r="D3" s="3" t="s">
        <v>25</v>
      </c>
      <c r="E3" s="3" t="s">
        <v>33</v>
      </c>
      <c r="F3" s="3" t="s">
        <v>24</v>
      </c>
      <c r="G3" s="3" t="s">
        <v>23</v>
      </c>
      <c r="H3" s="3" t="s">
        <v>22</v>
      </c>
      <c r="I3" s="21" t="s">
        <v>33</v>
      </c>
      <c r="J3" s="3" t="s">
        <v>35</v>
      </c>
      <c r="K3" s="3" t="s">
        <v>36</v>
      </c>
      <c r="L3" s="3" t="s">
        <v>37</v>
      </c>
      <c r="M3" s="3" t="s">
        <v>38</v>
      </c>
      <c r="O3" s="4">
        <v>2020</v>
      </c>
      <c r="P3" s="4">
        <v>2021</v>
      </c>
      <c r="Q3" s="4">
        <f t="shared" ref="Q3:AH3" si="0">+P3+1</f>
        <v>2022</v>
      </c>
      <c r="R3" s="4">
        <f t="shared" si="0"/>
        <v>2023</v>
      </c>
      <c r="S3" s="4">
        <f t="shared" si="0"/>
        <v>2024</v>
      </c>
      <c r="T3" s="4">
        <f t="shared" si="0"/>
        <v>2025</v>
      </c>
      <c r="U3" s="4">
        <f t="shared" si="0"/>
        <v>2026</v>
      </c>
      <c r="V3" s="4">
        <f t="shared" si="0"/>
        <v>2027</v>
      </c>
      <c r="W3" s="4">
        <f t="shared" si="0"/>
        <v>2028</v>
      </c>
      <c r="X3" s="4">
        <f t="shared" si="0"/>
        <v>2029</v>
      </c>
      <c r="Y3" s="4">
        <f t="shared" si="0"/>
        <v>2030</v>
      </c>
      <c r="Z3" s="4">
        <f t="shared" si="0"/>
        <v>2031</v>
      </c>
      <c r="AA3" s="4">
        <f t="shared" si="0"/>
        <v>2032</v>
      </c>
      <c r="AB3" s="4">
        <f t="shared" si="0"/>
        <v>2033</v>
      </c>
      <c r="AC3" s="4">
        <f t="shared" si="0"/>
        <v>2034</v>
      </c>
      <c r="AD3" s="4">
        <f t="shared" si="0"/>
        <v>2035</v>
      </c>
      <c r="AE3" s="4">
        <f t="shared" si="0"/>
        <v>2036</v>
      </c>
      <c r="AF3" s="4">
        <f t="shared" si="0"/>
        <v>2037</v>
      </c>
      <c r="AG3" s="4">
        <f t="shared" si="0"/>
        <v>2038</v>
      </c>
      <c r="AH3" s="4">
        <f t="shared" si="0"/>
        <v>2039</v>
      </c>
    </row>
    <row r="4" spans="1:34" s="5" customFormat="1" x14ac:dyDescent="0.2">
      <c r="A4" s="5" t="s">
        <v>3</v>
      </c>
      <c r="B4" s="5">
        <v>85.370999999999995</v>
      </c>
      <c r="C4" s="5">
        <v>90.253</v>
      </c>
      <c r="D4" s="5">
        <v>94.203000000000003</v>
      </c>
      <c r="E4" s="5">
        <v>100.96599999999999</v>
      </c>
      <c r="F4" s="5">
        <v>103.246</v>
      </c>
      <c r="G4" s="5">
        <v>107.616</v>
      </c>
      <c r="H4" s="5">
        <v>108.72</v>
      </c>
      <c r="I4" s="5">
        <v>111.117</v>
      </c>
      <c r="J4" s="5">
        <v>111.172</v>
      </c>
      <c r="O4" s="5">
        <v>166.351</v>
      </c>
      <c r="P4" s="5">
        <v>213.55600000000001</v>
      </c>
      <c r="Q4" s="5">
        <v>281.39600000000002</v>
      </c>
      <c r="R4" s="5">
        <v>370.79300000000001</v>
      </c>
      <c r="S4" s="5">
        <v>430.69900000000001</v>
      </c>
      <c r="T4" s="5">
        <f>+S4*1.15</f>
        <v>495.30384999999995</v>
      </c>
      <c r="U4" s="5">
        <f t="shared" ref="U4:AH4" si="1">+T4*1.15</f>
        <v>569.59942749999993</v>
      </c>
      <c r="V4" s="5">
        <f t="shared" si="1"/>
        <v>655.03934162499991</v>
      </c>
      <c r="W4" s="5">
        <f t="shared" si="1"/>
        <v>753.29524286874982</v>
      </c>
      <c r="X4" s="5">
        <f t="shared" si="1"/>
        <v>866.28952929906222</v>
      </c>
      <c r="Y4" s="5">
        <f t="shared" si="1"/>
        <v>996.23295869392143</v>
      </c>
      <c r="Z4" s="5">
        <f t="shared" si="1"/>
        <v>1145.6679024980097</v>
      </c>
      <c r="AA4" s="5">
        <f>+Z4*1.1</f>
        <v>1260.2346927478106</v>
      </c>
      <c r="AB4" s="5">
        <f>+AA4*1.1</f>
        <v>1386.2581620225917</v>
      </c>
      <c r="AC4" s="5">
        <f t="shared" ref="AC4:AH4" si="2">+AB4*1.1</f>
        <v>1524.883978224851</v>
      </c>
      <c r="AD4" s="5">
        <f t="shared" si="2"/>
        <v>1677.3723760473363</v>
      </c>
      <c r="AE4" s="5">
        <f t="shared" si="2"/>
        <v>1845.10961365207</v>
      </c>
      <c r="AF4" s="5">
        <f t="shared" si="2"/>
        <v>2029.6205750172771</v>
      </c>
      <c r="AG4" s="5">
        <f t="shared" si="2"/>
        <v>2232.5826325190051</v>
      </c>
      <c r="AH4" s="5">
        <f t="shared" si="2"/>
        <v>2455.8408957709057</v>
      </c>
    </row>
    <row r="5" spans="1:34" x14ac:dyDescent="0.2">
      <c r="A5" s="1" t="s">
        <v>4</v>
      </c>
      <c r="B5" s="1">
        <v>15.715999999999999</v>
      </c>
      <c r="C5" s="1">
        <v>18.367000000000001</v>
      </c>
      <c r="D5" s="1">
        <v>18.007000000000001</v>
      </c>
      <c r="E5" s="1">
        <v>18.344000000000001</v>
      </c>
      <c r="F5" s="1">
        <v>17.936</v>
      </c>
      <c r="G5" s="1">
        <v>19.832999999999998</v>
      </c>
      <c r="H5" s="1">
        <v>19.704999999999998</v>
      </c>
      <c r="I5" s="1">
        <v>20.358000000000001</v>
      </c>
      <c r="J5" s="1">
        <v>19.343</v>
      </c>
      <c r="K5" s="14"/>
      <c r="L5" s="14"/>
      <c r="M5" s="14"/>
      <c r="O5" s="1">
        <v>24.579000000000001</v>
      </c>
      <c r="P5" s="1">
        <v>30.686</v>
      </c>
      <c r="Q5" s="1">
        <v>48.360999999999997</v>
      </c>
      <c r="R5" s="1">
        <v>70.433999999999997</v>
      </c>
      <c r="S5" s="1">
        <v>77.831999999999994</v>
      </c>
      <c r="T5" s="1">
        <f>+S5*1.075</f>
        <v>83.669399999999996</v>
      </c>
      <c r="U5" s="1">
        <f t="shared" ref="U5:AH5" si="3">+T5*1.075</f>
        <v>89.944604999999996</v>
      </c>
      <c r="V5" s="1">
        <f t="shared" si="3"/>
        <v>96.690450374999998</v>
      </c>
      <c r="W5" s="1">
        <f t="shared" si="3"/>
        <v>103.942234153125</v>
      </c>
      <c r="X5" s="1">
        <f t="shared" si="3"/>
        <v>111.73790171460936</v>
      </c>
      <c r="Y5" s="1">
        <f t="shared" si="3"/>
        <v>120.11824434320506</v>
      </c>
      <c r="Z5" s="1">
        <f t="shared" si="3"/>
        <v>129.12711266894544</v>
      </c>
      <c r="AA5" s="1">
        <f t="shared" si="3"/>
        <v>138.81164611911635</v>
      </c>
      <c r="AB5" s="1">
        <f t="shared" si="3"/>
        <v>149.22251957805005</v>
      </c>
      <c r="AC5" s="1">
        <f t="shared" si="3"/>
        <v>160.41420854640381</v>
      </c>
      <c r="AD5" s="1">
        <f t="shared" si="3"/>
        <v>172.44527418738409</v>
      </c>
      <c r="AE5" s="1">
        <f t="shared" si="3"/>
        <v>185.37866975143788</v>
      </c>
      <c r="AF5" s="1">
        <f t="shared" si="3"/>
        <v>199.28206998279572</v>
      </c>
      <c r="AG5" s="1">
        <f t="shared" si="3"/>
        <v>214.22822523150538</v>
      </c>
      <c r="AH5" s="1">
        <f t="shared" si="3"/>
        <v>230.29534212386827</v>
      </c>
    </row>
    <row r="6" spans="1:34" x14ac:dyDescent="0.2">
      <c r="A6" s="1" t="s">
        <v>5</v>
      </c>
      <c r="B6" s="1">
        <f>+B4-B5</f>
        <v>69.655000000000001</v>
      </c>
      <c r="C6" s="1">
        <f>+C4-C5</f>
        <v>71.885999999999996</v>
      </c>
      <c r="D6" s="1">
        <f>+D4-D5</f>
        <v>76.195999999999998</v>
      </c>
      <c r="E6" s="1">
        <v>82.622</v>
      </c>
      <c r="F6" s="1">
        <f>+F4-F5</f>
        <v>85.31</v>
      </c>
      <c r="G6" s="1">
        <f>+G4-G5</f>
        <v>87.783000000000001</v>
      </c>
      <c r="H6" s="1">
        <f>+H4-H5</f>
        <v>89.015000000000001</v>
      </c>
      <c r="I6" s="1">
        <f>+I4-I5</f>
        <v>90.759</v>
      </c>
      <c r="J6" s="1">
        <f>+J4-J5</f>
        <v>91.828999999999994</v>
      </c>
      <c r="O6" s="1">
        <f t="shared" ref="O6:T6" si="4">+O4-O5</f>
        <v>141.77199999999999</v>
      </c>
      <c r="P6" s="1">
        <f t="shared" si="4"/>
        <v>182.87</v>
      </c>
      <c r="Q6" s="1">
        <f t="shared" si="4"/>
        <v>233.03500000000003</v>
      </c>
      <c r="R6" s="1">
        <f t="shared" si="4"/>
        <v>300.35900000000004</v>
      </c>
      <c r="S6" s="1">
        <f t="shared" si="4"/>
        <v>352.86700000000002</v>
      </c>
      <c r="T6" s="1">
        <f t="shared" si="4"/>
        <v>411.63444999999996</v>
      </c>
      <c r="U6" s="1">
        <f t="shared" ref="U6:AH6" si="5">+U4-U5</f>
        <v>479.65482249999991</v>
      </c>
      <c r="V6" s="1">
        <f t="shared" si="5"/>
        <v>558.34889124999995</v>
      </c>
      <c r="W6" s="1">
        <f t="shared" si="5"/>
        <v>649.35300871562481</v>
      </c>
      <c r="X6" s="1">
        <f t="shared" si="5"/>
        <v>754.55162758445283</v>
      </c>
      <c r="Y6" s="1">
        <f t="shared" si="5"/>
        <v>876.11471435071633</v>
      </c>
      <c r="Z6" s="1">
        <f t="shared" si="5"/>
        <v>1016.5407898290642</v>
      </c>
      <c r="AA6" s="1">
        <f t="shared" si="5"/>
        <v>1121.4230466286942</v>
      </c>
      <c r="AB6" s="1">
        <f t="shared" si="5"/>
        <v>1237.0356424445417</v>
      </c>
      <c r="AC6" s="1">
        <f t="shared" si="5"/>
        <v>1364.4697696784472</v>
      </c>
      <c r="AD6" s="1">
        <f t="shared" si="5"/>
        <v>1504.9271018599522</v>
      </c>
      <c r="AE6" s="1">
        <f t="shared" si="5"/>
        <v>1659.7309439006322</v>
      </c>
      <c r="AF6" s="1">
        <f t="shared" si="5"/>
        <v>1830.3385050344814</v>
      </c>
      <c r="AG6" s="1">
        <f t="shared" si="5"/>
        <v>2018.3544072874997</v>
      </c>
      <c r="AH6" s="1">
        <f t="shared" si="5"/>
        <v>2225.5455536470377</v>
      </c>
    </row>
    <row r="7" spans="1:34" x14ac:dyDescent="0.2">
      <c r="A7" s="1" t="s">
        <v>6</v>
      </c>
      <c r="B7" s="1">
        <v>31.289000000000001</v>
      </c>
      <c r="C7" s="1">
        <v>34.014000000000003</v>
      </c>
      <c r="D7" s="1">
        <v>35.003999999999998</v>
      </c>
      <c r="E7" s="1">
        <v>34.569000000000003</v>
      </c>
      <c r="F7" s="1">
        <v>33.508000000000003</v>
      </c>
      <c r="G7" s="1">
        <v>36.441000000000003</v>
      </c>
      <c r="H7" s="1">
        <v>34.271999999999998</v>
      </c>
      <c r="I7" s="1">
        <v>35.548000000000002</v>
      </c>
      <c r="J7" s="1">
        <v>37.523000000000003</v>
      </c>
      <c r="O7" s="1">
        <v>49.011000000000003</v>
      </c>
      <c r="P7" s="1">
        <v>64.566000000000003</v>
      </c>
      <c r="Q7" s="1">
        <v>95.69</v>
      </c>
      <c r="R7" s="1">
        <v>134.876</v>
      </c>
      <c r="S7" s="1">
        <v>139.76900000000001</v>
      </c>
      <c r="T7" s="1">
        <f>+S7*1.07</f>
        <v>149.55283000000003</v>
      </c>
      <c r="U7" s="1">
        <f t="shared" ref="U7:AH7" si="6">+T7*1.07</f>
        <v>160.02152810000004</v>
      </c>
      <c r="V7" s="1">
        <f t="shared" si="6"/>
        <v>171.22303506700004</v>
      </c>
      <c r="W7" s="1">
        <f t="shared" si="6"/>
        <v>183.20864752169007</v>
      </c>
      <c r="X7" s="1">
        <f t="shared" si="6"/>
        <v>196.03325284820838</v>
      </c>
      <c r="Y7" s="1">
        <f t="shared" si="6"/>
        <v>209.75558054758298</v>
      </c>
      <c r="Z7" s="1">
        <f t="shared" si="6"/>
        <v>224.43847118591381</v>
      </c>
      <c r="AA7" s="1">
        <f t="shared" si="6"/>
        <v>240.1491641689278</v>
      </c>
      <c r="AB7" s="1">
        <f t="shared" si="6"/>
        <v>256.95960566075274</v>
      </c>
      <c r="AC7" s="1">
        <f t="shared" si="6"/>
        <v>274.94677805700547</v>
      </c>
      <c r="AD7" s="1">
        <f t="shared" si="6"/>
        <v>294.19305252099588</v>
      </c>
      <c r="AE7" s="1">
        <f t="shared" si="6"/>
        <v>314.78656619746562</v>
      </c>
      <c r="AF7" s="1">
        <f t="shared" si="6"/>
        <v>336.82162583128826</v>
      </c>
      <c r="AG7" s="1">
        <f t="shared" si="6"/>
        <v>360.39913963947845</v>
      </c>
      <c r="AH7" s="1">
        <f t="shared" si="6"/>
        <v>385.62707941424196</v>
      </c>
    </row>
    <row r="8" spans="1:34" x14ac:dyDescent="0.2">
      <c r="A8" s="1" t="s">
        <v>7</v>
      </c>
      <c r="B8" s="1">
        <v>45.552</v>
      </c>
      <c r="C8" s="1">
        <v>50.331000000000003</v>
      </c>
      <c r="D8" s="1">
        <v>47.118000000000002</v>
      </c>
      <c r="E8" s="1">
        <v>52.621000000000002</v>
      </c>
      <c r="F8" s="1">
        <v>43.801000000000002</v>
      </c>
      <c r="G8" s="1">
        <v>49.723999999999997</v>
      </c>
      <c r="H8" s="1">
        <v>49.63</v>
      </c>
      <c r="I8" s="1">
        <v>53.613999999999997</v>
      </c>
      <c r="J8" s="1">
        <v>48.499000000000002</v>
      </c>
      <c r="O8" s="1">
        <v>97.35</v>
      </c>
      <c r="P8" s="1">
        <v>122.155</v>
      </c>
      <c r="Q8" s="1">
        <v>161.624</v>
      </c>
      <c r="R8" s="1">
        <v>195.62200000000001</v>
      </c>
      <c r="S8" s="1">
        <v>196.76900000000001</v>
      </c>
      <c r="T8" s="1">
        <f>+S8*1.05</f>
        <v>206.60745000000003</v>
      </c>
      <c r="U8" s="1">
        <f t="shared" ref="U8:AH8" si="7">+T8*1.05</f>
        <v>216.93782250000004</v>
      </c>
      <c r="V8" s="1">
        <f t="shared" si="7"/>
        <v>227.78471362500005</v>
      </c>
      <c r="W8" s="1">
        <f t="shared" si="7"/>
        <v>239.17394930625005</v>
      </c>
      <c r="X8" s="1">
        <f t="shared" si="7"/>
        <v>251.13264677156258</v>
      </c>
      <c r="Y8" s="1">
        <f t="shared" si="7"/>
        <v>263.68927911014072</v>
      </c>
      <c r="Z8" s="1">
        <f t="shared" si="7"/>
        <v>276.87374306564777</v>
      </c>
      <c r="AA8" s="1">
        <f t="shared" si="7"/>
        <v>290.71743021893019</v>
      </c>
      <c r="AB8" s="1">
        <f t="shared" si="7"/>
        <v>305.25330172987674</v>
      </c>
      <c r="AC8" s="1">
        <f t="shared" si="7"/>
        <v>320.51596681637056</v>
      </c>
      <c r="AD8" s="1">
        <f t="shared" si="7"/>
        <v>336.5417651571891</v>
      </c>
      <c r="AE8" s="1">
        <f t="shared" si="7"/>
        <v>353.36885341504859</v>
      </c>
      <c r="AF8" s="1">
        <f t="shared" si="7"/>
        <v>371.03729608580102</v>
      </c>
      <c r="AG8" s="1">
        <f t="shared" si="7"/>
        <v>389.58916089009108</v>
      </c>
      <c r="AH8" s="1">
        <f t="shared" si="7"/>
        <v>409.06861893459563</v>
      </c>
    </row>
    <row r="9" spans="1:34" x14ac:dyDescent="0.2">
      <c r="A9" s="1" t="s">
        <v>8</v>
      </c>
      <c r="B9" s="1">
        <v>25.271000000000001</v>
      </c>
      <c r="C9" s="1">
        <v>25.428999999999998</v>
      </c>
      <c r="D9" s="1">
        <v>26.616</v>
      </c>
      <c r="E9" s="1">
        <v>21.922000000000001</v>
      </c>
      <c r="F9" s="1">
        <v>23.800999999999998</v>
      </c>
      <c r="G9" s="1">
        <v>27.791</v>
      </c>
      <c r="H9" s="1">
        <v>25.954999999999998</v>
      </c>
      <c r="I9" s="1">
        <v>35.027999999999999</v>
      </c>
      <c r="J9" s="1">
        <v>27.54</v>
      </c>
      <c r="O9" s="1">
        <v>50.97</v>
      </c>
      <c r="P9" s="1">
        <v>62.430999999999997</v>
      </c>
      <c r="Q9" s="1">
        <v>77.432000000000002</v>
      </c>
      <c r="R9" s="1">
        <v>99.238</v>
      </c>
      <c r="S9" s="1">
        <v>112.575</v>
      </c>
      <c r="T9" s="1">
        <f>+S9*1.02</f>
        <v>114.82650000000001</v>
      </c>
      <c r="U9" s="1">
        <f t="shared" ref="U9:AH9" si="8">+T9*1.02</f>
        <v>117.12303000000001</v>
      </c>
      <c r="V9" s="1">
        <f t="shared" si="8"/>
        <v>119.46549060000001</v>
      </c>
      <c r="W9" s="1">
        <f t="shared" si="8"/>
        <v>121.85480041200002</v>
      </c>
      <c r="X9" s="1">
        <f t="shared" si="8"/>
        <v>124.29189642024002</v>
      </c>
      <c r="Y9" s="1">
        <f t="shared" si="8"/>
        <v>126.77773434864483</v>
      </c>
      <c r="Z9" s="1">
        <f t="shared" si="8"/>
        <v>129.31328903561771</v>
      </c>
      <c r="AA9" s="1">
        <f t="shared" si="8"/>
        <v>131.89955481633007</v>
      </c>
      <c r="AB9" s="1">
        <f t="shared" si="8"/>
        <v>134.53754591265667</v>
      </c>
      <c r="AC9" s="1">
        <f t="shared" si="8"/>
        <v>137.22829683090981</v>
      </c>
      <c r="AD9" s="1">
        <f t="shared" si="8"/>
        <v>139.972862767528</v>
      </c>
      <c r="AE9" s="1">
        <f t="shared" si="8"/>
        <v>142.77232002287857</v>
      </c>
      <c r="AF9" s="1">
        <f t="shared" si="8"/>
        <v>145.62776642333614</v>
      </c>
      <c r="AG9" s="1">
        <f t="shared" si="8"/>
        <v>148.54032175180288</v>
      </c>
      <c r="AH9" s="1">
        <f t="shared" si="8"/>
        <v>151.51112818683893</v>
      </c>
    </row>
    <row r="10" spans="1:34" x14ac:dyDescent="0.2">
      <c r="A10" s="1" t="s">
        <v>9</v>
      </c>
      <c r="B10" s="1">
        <f t="shared" ref="B10:I10" si="9">SUM(B7:B9)</f>
        <v>102.11200000000001</v>
      </c>
      <c r="C10" s="1">
        <f t="shared" si="9"/>
        <v>109.774</v>
      </c>
      <c r="D10" s="1">
        <f t="shared" si="9"/>
        <v>108.738</v>
      </c>
      <c r="E10" s="1">
        <f t="shared" si="9"/>
        <v>109.11199999999999</v>
      </c>
      <c r="F10" s="1">
        <f t="shared" si="9"/>
        <v>101.11</v>
      </c>
      <c r="G10" s="1">
        <f t="shared" si="9"/>
        <v>113.95599999999999</v>
      </c>
      <c r="H10" s="1">
        <f t="shared" si="9"/>
        <v>109.857</v>
      </c>
      <c r="I10" s="1">
        <f t="shared" si="9"/>
        <v>124.19</v>
      </c>
      <c r="J10" s="1">
        <f t="shared" ref="J10" si="10">SUM(J7:J9)</f>
        <v>113.56200000000001</v>
      </c>
      <c r="O10" s="1">
        <f t="shared" ref="O10:T10" si="11">SUM(O7:O9)</f>
        <v>197.33099999999999</v>
      </c>
      <c r="P10" s="1">
        <f t="shared" si="11"/>
        <v>249.15199999999999</v>
      </c>
      <c r="Q10" s="1">
        <f t="shared" si="11"/>
        <v>334.74599999999998</v>
      </c>
      <c r="R10" s="1">
        <f t="shared" si="11"/>
        <v>429.73600000000005</v>
      </c>
      <c r="S10" s="1">
        <f t="shared" si="11"/>
        <v>449.113</v>
      </c>
      <c r="T10" s="1">
        <f t="shared" si="11"/>
        <v>470.98678000000007</v>
      </c>
      <c r="U10" s="1">
        <f t="shared" ref="U10:AH10" si="12">SUM(U7:U9)</f>
        <v>494.08238060000014</v>
      </c>
      <c r="V10" s="1">
        <f t="shared" si="12"/>
        <v>518.47323929200002</v>
      </c>
      <c r="W10" s="1">
        <f t="shared" si="12"/>
        <v>544.23739723994015</v>
      </c>
      <c r="X10" s="1">
        <f t="shared" si="12"/>
        <v>571.45779604001098</v>
      </c>
      <c r="Y10" s="1">
        <f t="shared" si="12"/>
        <v>600.22259400636847</v>
      </c>
      <c r="Z10" s="1">
        <f t="shared" si="12"/>
        <v>630.6255032871793</v>
      </c>
      <c r="AA10" s="1">
        <f t="shared" si="12"/>
        <v>662.76614920418797</v>
      </c>
      <c r="AB10" s="1">
        <f t="shared" si="12"/>
        <v>696.75045330328612</v>
      </c>
      <c r="AC10" s="1">
        <f t="shared" si="12"/>
        <v>732.69104170428591</v>
      </c>
      <c r="AD10" s="1">
        <f t="shared" si="12"/>
        <v>770.70768044571298</v>
      </c>
      <c r="AE10" s="1">
        <f t="shared" si="12"/>
        <v>810.92773963539275</v>
      </c>
      <c r="AF10" s="1">
        <f t="shared" si="12"/>
        <v>853.48668834042542</v>
      </c>
      <c r="AG10" s="1">
        <f t="shared" si="12"/>
        <v>898.52862228137246</v>
      </c>
      <c r="AH10" s="1">
        <f t="shared" si="12"/>
        <v>946.20682653567656</v>
      </c>
    </row>
    <row r="11" spans="1:34" s="5" customFormat="1" x14ac:dyDescent="0.2">
      <c r="A11" s="5" t="s">
        <v>10</v>
      </c>
      <c r="B11" s="5">
        <f t="shared" ref="B11:I11" si="13">+B6-B10</f>
        <v>-32.457000000000008</v>
      </c>
      <c r="C11" s="5">
        <f t="shared" si="13"/>
        <v>-37.888000000000005</v>
      </c>
      <c r="D11" s="5">
        <f t="shared" si="13"/>
        <v>-32.542000000000002</v>
      </c>
      <c r="E11" s="5">
        <f t="shared" si="13"/>
        <v>-26.489999999999995</v>
      </c>
      <c r="F11" s="5">
        <f t="shared" si="13"/>
        <v>-15.799999999999997</v>
      </c>
      <c r="G11" s="5">
        <f t="shared" si="13"/>
        <v>-26.172999999999988</v>
      </c>
      <c r="H11" s="5">
        <f t="shared" si="13"/>
        <v>-20.841999999999999</v>
      </c>
      <c r="I11" s="5">
        <f t="shared" si="13"/>
        <v>-33.430999999999997</v>
      </c>
      <c r="J11" s="5">
        <f t="shared" ref="J11" si="14">+J6-J10</f>
        <v>-21.733000000000018</v>
      </c>
      <c r="O11" s="5">
        <f t="shared" ref="O11:T11" si="15">+O6-O10</f>
        <v>-55.558999999999997</v>
      </c>
      <c r="P11" s="5">
        <f t="shared" si="15"/>
        <v>-66.281999999999982</v>
      </c>
      <c r="Q11" s="5">
        <f t="shared" si="15"/>
        <v>-101.71099999999996</v>
      </c>
      <c r="R11" s="5">
        <f t="shared" si="15"/>
        <v>-129.37700000000001</v>
      </c>
      <c r="S11" s="5">
        <f t="shared" si="15"/>
        <v>-96.245999999999981</v>
      </c>
      <c r="T11" s="5">
        <f t="shared" si="15"/>
        <v>-59.352330000000109</v>
      </c>
      <c r="U11" s="5">
        <f t="shared" ref="U11:AH11" si="16">+U6-U10</f>
        <v>-14.427558100000226</v>
      </c>
      <c r="V11" s="5">
        <f t="shared" si="16"/>
        <v>39.875651957999935</v>
      </c>
      <c r="W11" s="5">
        <f t="shared" si="16"/>
        <v>105.11561147568466</v>
      </c>
      <c r="X11" s="5">
        <f t="shared" si="16"/>
        <v>183.09383154444185</v>
      </c>
      <c r="Y11" s="5">
        <f t="shared" si="16"/>
        <v>275.89212034434786</v>
      </c>
      <c r="Z11" s="5">
        <f t="shared" si="16"/>
        <v>385.91528654188494</v>
      </c>
      <c r="AA11" s="5">
        <f t="shared" si="16"/>
        <v>458.65689742450627</v>
      </c>
      <c r="AB11" s="5">
        <f t="shared" si="16"/>
        <v>540.28518914125561</v>
      </c>
      <c r="AC11" s="5">
        <f t="shared" si="16"/>
        <v>631.77872797416126</v>
      </c>
      <c r="AD11" s="5">
        <f t="shared" si="16"/>
        <v>734.21942141423926</v>
      </c>
      <c r="AE11" s="5">
        <f t="shared" si="16"/>
        <v>848.8032042652394</v>
      </c>
      <c r="AF11" s="5">
        <f t="shared" si="16"/>
        <v>976.85181669405597</v>
      </c>
      <c r="AG11" s="5">
        <f t="shared" si="16"/>
        <v>1119.8257850061273</v>
      </c>
      <c r="AH11" s="5">
        <f t="shared" si="16"/>
        <v>1279.3387271113611</v>
      </c>
    </row>
    <row r="12" spans="1:34" x14ac:dyDescent="0.2">
      <c r="A12" s="1" t="s">
        <v>11</v>
      </c>
      <c r="B12" s="1">
        <v>0.54800000000000004</v>
      </c>
      <c r="C12" s="1">
        <v>8.3000000000000004E-2</v>
      </c>
      <c r="D12" s="1">
        <v>1.3819999999999999</v>
      </c>
      <c r="E12" s="1">
        <v>2.0049999999999999</v>
      </c>
      <c r="F12" s="1">
        <v>3.1230000000000002</v>
      </c>
      <c r="G12" s="1">
        <v>3.6549999999999998</v>
      </c>
      <c r="H12" s="1">
        <v>4.5220000000000002</v>
      </c>
      <c r="I12" s="1">
        <v>10.801</v>
      </c>
      <c r="J12" s="1">
        <v>6.98</v>
      </c>
      <c r="O12" s="1">
        <v>5.6920000000000002</v>
      </c>
      <c r="P12" s="1">
        <v>4.2320000000000002</v>
      </c>
      <c r="Q12" s="1">
        <v>2.9460000000000002</v>
      </c>
      <c r="R12" s="1">
        <v>22.100999999999999</v>
      </c>
      <c r="S12" s="1">
        <v>22.100999999999999</v>
      </c>
      <c r="T12" s="1">
        <f>+S12+S31*AK21</f>
        <v>23.33259</v>
      </c>
      <c r="U12" s="1">
        <f>+T12+T31*0.01</f>
        <v>24.199122599999999</v>
      </c>
      <c r="V12" s="1">
        <f>+U12+U31*0.01</f>
        <v>25.158510844999995</v>
      </c>
      <c r="W12" s="1">
        <f t="shared" ref="W12:AH12" si="17">+V12+V31*0.01</f>
        <v>26.730992636628493</v>
      </c>
      <c r="X12" s="1">
        <f t="shared" si="17"/>
        <v>29.485611865267806</v>
      </c>
      <c r="Y12" s="1">
        <f t="shared" si="17"/>
        <v>34.042923362889653</v>
      </c>
      <c r="Z12" s="1">
        <f t="shared" si="17"/>
        <v>41.075731210169401</v>
      </c>
      <c r="AA12" s="1">
        <f t="shared" si="17"/>
        <v>51.307236690589555</v>
      </c>
      <c r="AB12" s="1">
        <f t="shared" si="17"/>
        <v>65.10500510981538</v>
      </c>
      <c r="AC12" s="1">
        <f t="shared" si="17"/>
        <v>83.137018888798707</v>
      </c>
      <c r="AD12" s="1">
        <f t="shared" si="17"/>
        <v>106.16995689582275</v>
      </c>
      <c r="AE12" s="1">
        <f t="shared" si="17"/>
        <v>135.08213455101722</v>
      </c>
      <c r="AF12" s="1">
        <f t="shared" si="17"/>
        <v>170.87802357792549</v>
      </c>
      <c r="AG12" s="1">
        <f t="shared" si="17"/>
        <v>214.70453548673763</v>
      </c>
      <c r="AH12" s="1">
        <f t="shared" si="17"/>
        <v>267.86927363899986</v>
      </c>
    </row>
    <row r="13" spans="1:34" x14ac:dyDescent="0.2">
      <c r="A13" s="1" t="s">
        <v>12</v>
      </c>
      <c r="B13" s="1">
        <v>-1.325</v>
      </c>
      <c r="C13" s="1">
        <v>-1.387</v>
      </c>
      <c r="D13" s="1">
        <v>-0.13600000000000001</v>
      </c>
      <c r="E13" s="1">
        <v>-1.361</v>
      </c>
      <c r="F13" s="1">
        <v>-1.3340000000000001</v>
      </c>
      <c r="G13" s="1">
        <v>-1.3959999999999999</v>
      </c>
      <c r="H13" s="1">
        <v>-1.454</v>
      </c>
      <c r="I13" s="1">
        <v>-2.3159999999999998</v>
      </c>
      <c r="J13" s="1">
        <v>-2.1480000000000001</v>
      </c>
      <c r="O13" s="1">
        <v>0</v>
      </c>
      <c r="P13" s="1">
        <v>-9.9649999999999999</v>
      </c>
      <c r="Q13" s="1">
        <v>-5.3979999999999997</v>
      </c>
      <c r="R13" s="1">
        <v>-6.5000000000000002E-2</v>
      </c>
      <c r="S13" s="1">
        <v>-6.5000000000000002E-2</v>
      </c>
      <c r="T13" s="1">
        <v>-6.5000000000000002E-2</v>
      </c>
      <c r="U13" s="1">
        <v>-6.5000000000000002E-2</v>
      </c>
      <c r="V13" s="1">
        <v>-6.5000000000000002E-2</v>
      </c>
      <c r="W13" s="1">
        <v>-6.5000000000000002E-2</v>
      </c>
      <c r="X13" s="1">
        <v>-6.5000000000000002E-2</v>
      </c>
      <c r="Y13" s="1">
        <v>-6.5000000000000002E-2</v>
      </c>
      <c r="Z13" s="1">
        <v>-6.5000000000000002E-2</v>
      </c>
      <c r="AA13" s="1">
        <v>-6.5000000000000002E-2</v>
      </c>
      <c r="AB13" s="1">
        <v>-6.5000000000000002E-2</v>
      </c>
      <c r="AC13" s="1">
        <v>-6.5000000000000002E-2</v>
      </c>
      <c r="AD13" s="1">
        <v>-6.5000000000000002E-2</v>
      </c>
      <c r="AE13" s="1">
        <v>-6.5000000000000002E-2</v>
      </c>
      <c r="AF13" s="1">
        <v>-6.5000000000000002E-2</v>
      </c>
      <c r="AG13" s="1">
        <v>-6.5000000000000002E-2</v>
      </c>
      <c r="AH13" s="1">
        <v>-6.5000000000000002E-2</v>
      </c>
    </row>
    <row r="14" spans="1:34" x14ac:dyDescent="0.2">
      <c r="A14" s="22" t="s">
        <v>95</v>
      </c>
      <c r="B14" s="1">
        <v>-7.9000000000000001E-2</v>
      </c>
      <c r="C14" s="1">
        <v>-0.36399999999999999</v>
      </c>
      <c r="D14" s="1">
        <v>0.67300000000000004</v>
      </c>
      <c r="E14" s="1">
        <v>1.3069999999999999</v>
      </c>
      <c r="F14" s="1">
        <v>1.0669999999999999</v>
      </c>
      <c r="G14" s="1">
        <v>1.242</v>
      </c>
      <c r="H14" s="1">
        <v>0.67300000000000004</v>
      </c>
      <c r="I14" s="1">
        <v>-3.415</v>
      </c>
      <c r="J14" s="1">
        <v>-0.251</v>
      </c>
      <c r="O14" s="1">
        <v>0.20300000000000001</v>
      </c>
      <c r="P14" s="1">
        <v>-0.79400000000000004</v>
      </c>
      <c r="Q14" s="1">
        <v>-2.7570000000000001</v>
      </c>
      <c r="R14" s="1">
        <v>-0.433</v>
      </c>
      <c r="S14" s="1">
        <v>-0.433</v>
      </c>
      <c r="T14" s="1">
        <v>-0.433</v>
      </c>
      <c r="U14" s="1">
        <v>-0.433</v>
      </c>
      <c r="V14" s="1">
        <v>-0.433</v>
      </c>
      <c r="W14" s="1">
        <v>-0.433</v>
      </c>
      <c r="X14" s="1">
        <v>-0.433</v>
      </c>
      <c r="Y14" s="1">
        <v>-0.433</v>
      </c>
      <c r="Z14" s="1">
        <v>-0.433</v>
      </c>
      <c r="AA14" s="1">
        <v>-0.433</v>
      </c>
      <c r="AB14" s="1">
        <v>-0.433</v>
      </c>
      <c r="AC14" s="1">
        <v>-0.433</v>
      </c>
      <c r="AD14" s="1">
        <v>-0.433</v>
      </c>
      <c r="AE14" s="1">
        <v>-0.433</v>
      </c>
      <c r="AF14" s="1">
        <v>-0.433</v>
      </c>
      <c r="AG14" s="1">
        <v>-0.433</v>
      </c>
      <c r="AH14" s="1">
        <v>-0.433</v>
      </c>
    </row>
    <row r="15" spans="1:34" x14ac:dyDescent="0.2">
      <c r="A15" s="1" t="s">
        <v>13</v>
      </c>
      <c r="B15" s="1">
        <f t="shared" ref="B15:I15" si="18">B11+SUM(B12:B14)</f>
        <v>-33.313000000000009</v>
      </c>
      <c r="C15" s="1">
        <f t="shared" si="18"/>
        <v>-39.556000000000004</v>
      </c>
      <c r="D15" s="1">
        <f t="shared" si="18"/>
        <v>-30.623000000000001</v>
      </c>
      <c r="E15" s="1">
        <f t="shared" si="18"/>
        <v>-24.538999999999994</v>
      </c>
      <c r="F15" s="1">
        <f t="shared" si="18"/>
        <v>-12.943999999999997</v>
      </c>
      <c r="G15" s="1">
        <f t="shared" si="18"/>
        <v>-22.671999999999986</v>
      </c>
      <c r="H15" s="1">
        <f t="shared" si="18"/>
        <v>-17.100999999999999</v>
      </c>
      <c r="I15" s="1">
        <f t="shared" si="18"/>
        <v>-28.360999999999997</v>
      </c>
      <c r="J15" s="1">
        <f t="shared" ref="J15" si="19">J11+SUM(J12:J14)</f>
        <v>-17.152000000000019</v>
      </c>
      <c r="O15" s="1">
        <f t="shared" ref="O15:T15" si="20">O11+SUM(O12:O14)</f>
        <v>-49.663999999999994</v>
      </c>
      <c r="P15" s="1">
        <f t="shared" si="20"/>
        <v>-72.808999999999983</v>
      </c>
      <c r="Q15" s="1">
        <f t="shared" si="20"/>
        <v>-106.91999999999996</v>
      </c>
      <c r="R15" s="1">
        <f t="shared" si="20"/>
        <v>-107.77400000000002</v>
      </c>
      <c r="S15" s="1">
        <f t="shared" si="20"/>
        <v>-74.642999999999986</v>
      </c>
      <c r="T15" s="1">
        <f t="shared" si="20"/>
        <v>-36.51774000000011</v>
      </c>
      <c r="U15" s="1">
        <f t="shared" ref="U15:AH15" si="21">U11+SUM(U12:U14)</f>
        <v>9.2735644999997717</v>
      </c>
      <c r="V15" s="1">
        <f t="shared" si="21"/>
        <v>64.536162802999925</v>
      </c>
      <c r="W15" s="1">
        <f t="shared" si="21"/>
        <v>131.34860411231315</v>
      </c>
      <c r="X15" s="1">
        <f t="shared" si="21"/>
        <v>212.08144340970966</v>
      </c>
      <c r="Y15" s="1">
        <f t="shared" si="21"/>
        <v>309.43704370723754</v>
      </c>
      <c r="Z15" s="1">
        <f t="shared" si="21"/>
        <v>426.49301775205436</v>
      </c>
      <c r="AA15" s="1">
        <f t="shared" si="21"/>
        <v>509.46613411509583</v>
      </c>
      <c r="AB15" s="1">
        <f t="shared" si="21"/>
        <v>604.89219425107103</v>
      </c>
      <c r="AC15" s="1">
        <f t="shared" si="21"/>
        <v>714.41774686295992</v>
      </c>
      <c r="AD15" s="1">
        <f t="shared" si="21"/>
        <v>839.89137831006201</v>
      </c>
      <c r="AE15" s="1">
        <f t="shared" si="21"/>
        <v>983.3873388162566</v>
      </c>
      <c r="AF15" s="1">
        <f t="shared" si="21"/>
        <v>1147.2318402719816</v>
      </c>
      <c r="AG15" s="1">
        <f t="shared" si="21"/>
        <v>1334.032320492865</v>
      </c>
      <c r="AH15" s="1">
        <f t="shared" si="21"/>
        <v>1546.7100007503609</v>
      </c>
    </row>
    <row r="16" spans="1:34" x14ac:dyDescent="0.2">
      <c r="A16" s="1" t="s">
        <v>14</v>
      </c>
      <c r="B16" s="1">
        <v>-1.204</v>
      </c>
      <c r="C16" s="1">
        <v>-2.1000000000000001E-2</v>
      </c>
      <c r="D16" s="1">
        <v>0.112</v>
      </c>
      <c r="E16" s="1">
        <v>-0.46300000000000002</v>
      </c>
      <c r="F16" s="1">
        <v>-0.106</v>
      </c>
      <c r="G16" s="1">
        <v>-5.0000000000000001E-3</v>
      </c>
      <c r="H16" s="1">
        <v>-4.1000000000000002E-2</v>
      </c>
      <c r="I16" s="1">
        <v>-0.185</v>
      </c>
      <c r="J16" s="1">
        <v>-0.193</v>
      </c>
      <c r="O16" s="1">
        <v>-0.67500000000000004</v>
      </c>
      <c r="P16" s="1">
        <v>3.9060000000000001</v>
      </c>
      <c r="Q16" s="1">
        <v>-0.53500000000000003</v>
      </c>
      <c r="R16" s="1">
        <v>-1.2E-2</v>
      </c>
      <c r="S16" s="1">
        <v>-1.2E-2</v>
      </c>
      <c r="T16" s="1">
        <v>-1.2E-2</v>
      </c>
      <c r="U16" s="1">
        <v>-1.2E-2</v>
      </c>
      <c r="V16" s="1">
        <f>+V15*V23</f>
        <v>3.2268081401499966</v>
      </c>
      <c r="W16" s="1">
        <f t="shared" ref="W16:AH16" si="22">+W15*W23</f>
        <v>13.134860411231315</v>
      </c>
      <c r="X16" s="1">
        <f>+X15*X23</f>
        <v>31.812216511456448</v>
      </c>
      <c r="Y16" s="1">
        <f t="shared" si="22"/>
        <v>61.887408741447508</v>
      </c>
      <c r="Z16" s="1">
        <f t="shared" si="22"/>
        <v>106.62325443801359</v>
      </c>
      <c r="AA16" s="1">
        <f t="shared" si="22"/>
        <v>152.83984023452874</v>
      </c>
      <c r="AB16" s="1">
        <f t="shared" si="22"/>
        <v>181.4676582753213</v>
      </c>
      <c r="AC16" s="1">
        <f t="shared" si="22"/>
        <v>214.32532405888796</v>
      </c>
      <c r="AD16" s="1">
        <f t="shared" si="22"/>
        <v>251.9674134930186</v>
      </c>
      <c r="AE16" s="1">
        <f t="shared" si="22"/>
        <v>295.01620164487696</v>
      </c>
      <c r="AF16" s="1">
        <f t="shared" si="22"/>
        <v>344.16955208159447</v>
      </c>
      <c r="AG16" s="1">
        <f t="shared" si="22"/>
        <v>400.20969614785946</v>
      </c>
      <c r="AH16" s="1">
        <f t="shared" si="22"/>
        <v>464.01300022510827</v>
      </c>
    </row>
    <row r="17" spans="1:135" s="5" customFormat="1" x14ac:dyDescent="0.2">
      <c r="A17" s="5" t="s">
        <v>15</v>
      </c>
      <c r="B17" s="5">
        <f t="shared" ref="B17:I17" si="23">+B15-B16</f>
        <v>-32.109000000000009</v>
      </c>
      <c r="C17" s="5">
        <f t="shared" si="23"/>
        <v>-39.535000000000004</v>
      </c>
      <c r="D17" s="5">
        <f t="shared" si="23"/>
        <v>-30.734999999999999</v>
      </c>
      <c r="E17" s="5">
        <f t="shared" si="23"/>
        <v>-24.075999999999993</v>
      </c>
      <c r="F17" s="5">
        <f t="shared" si="23"/>
        <v>-12.837999999999997</v>
      </c>
      <c r="G17" s="5">
        <f t="shared" si="23"/>
        <v>-22.666999999999987</v>
      </c>
      <c r="H17" s="5">
        <f t="shared" si="23"/>
        <v>-17.059999999999999</v>
      </c>
      <c r="I17" s="5">
        <f t="shared" si="23"/>
        <v>-28.175999999999998</v>
      </c>
      <c r="J17" s="5">
        <f t="shared" ref="J17" si="24">+J15-J16</f>
        <v>-16.959000000000017</v>
      </c>
      <c r="O17" s="5">
        <f>+O15+O16</f>
        <v>-50.338999999999992</v>
      </c>
      <c r="P17" s="5">
        <f>+P15+P16</f>
        <v>-68.902999999999977</v>
      </c>
      <c r="Q17" s="5">
        <f>+Q15+Q16</f>
        <v>-107.45499999999996</v>
      </c>
      <c r="R17" s="5">
        <f>+R15-R16</f>
        <v>-107.76200000000001</v>
      </c>
      <c r="S17" s="5">
        <f>+S15-S16</f>
        <v>-74.630999999999986</v>
      </c>
      <c r="T17" s="5">
        <f>+T15-T16</f>
        <v>-36.50574000000011</v>
      </c>
      <c r="U17" s="5">
        <f t="shared" ref="U17:AH17" si="25">+U15-U16</f>
        <v>9.2855644999997722</v>
      </c>
      <c r="V17" s="5">
        <f t="shared" si="25"/>
        <v>61.309354662849927</v>
      </c>
      <c r="W17" s="5">
        <f t="shared" si="25"/>
        <v>118.21374370108184</v>
      </c>
      <c r="X17" s="5">
        <f t="shared" si="25"/>
        <v>180.26922689825321</v>
      </c>
      <c r="Y17" s="5">
        <f t="shared" si="25"/>
        <v>247.54963496579003</v>
      </c>
      <c r="Z17" s="5">
        <f t="shared" si="25"/>
        <v>319.86976331404077</v>
      </c>
      <c r="AA17" s="5">
        <f t="shared" si="25"/>
        <v>356.62629388056712</v>
      </c>
      <c r="AB17" s="5">
        <f t="shared" si="25"/>
        <v>423.42453597574973</v>
      </c>
      <c r="AC17" s="5">
        <f t="shared" si="25"/>
        <v>500.09242280407193</v>
      </c>
      <c r="AD17" s="5">
        <f t="shared" si="25"/>
        <v>587.92396481704338</v>
      </c>
      <c r="AE17" s="5">
        <f t="shared" si="25"/>
        <v>688.37113717137959</v>
      </c>
      <c r="AF17" s="5">
        <f t="shared" si="25"/>
        <v>803.06228819038711</v>
      </c>
      <c r="AG17" s="5">
        <f t="shared" si="25"/>
        <v>933.82262434500558</v>
      </c>
      <c r="AH17" s="5">
        <f t="shared" si="25"/>
        <v>1082.6970005252526</v>
      </c>
      <c r="AI17" s="5">
        <f>$AH$17*(1+$AK$22)</f>
        <v>1050.216090509495</v>
      </c>
      <c r="AJ17" s="5">
        <f t="shared" ref="AJ17:CU17" si="26">AI17*(1+$AK$22)</f>
        <v>1018.7096077942101</v>
      </c>
      <c r="AK17" s="5">
        <f t="shared" si="26"/>
        <v>988.14831956038381</v>
      </c>
      <c r="AL17" s="5">
        <f t="shared" si="26"/>
        <v>958.50386997357225</v>
      </c>
      <c r="AM17" s="5">
        <f t="shared" si="26"/>
        <v>929.74875387436509</v>
      </c>
      <c r="AN17" s="5">
        <f t="shared" si="26"/>
        <v>901.85629125813409</v>
      </c>
      <c r="AO17" s="5">
        <f t="shared" si="26"/>
        <v>874.80060252039004</v>
      </c>
      <c r="AP17" s="5">
        <f t="shared" si="26"/>
        <v>848.55658444477831</v>
      </c>
      <c r="AQ17" s="5">
        <f t="shared" si="26"/>
        <v>823.09988691143496</v>
      </c>
      <c r="AR17" s="5">
        <f t="shared" si="26"/>
        <v>798.40689030409192</v>
      </c>
      <c r="AS17" s="5">
        <f t="shared" si="26"/>
        <v>774.45468359496908</v>
      </c>
      <c r="AT17" s="5">
        <f t="shared" si="26"/>
        <v>751.22104308711994</v>
      </c>
      <c r="AU17" s="5">
        <f t="shared" si="26"/>
        <v>728.68441179450633</v>
      </c>
      <c r="AV17" s="5">
        <f t="shared" si="26"/>
        <v>706.82387944067113</v>
      </c>
      <c r="AW17" s="5">
        <f t="shared" si="26"/>
        <v>685.61916305745103</v>
      </c>
      <c r="AX17" s="5">
        <f t="shared" si="26"/>
        <v>665.0505881657275</v>
      </c>
      <c r="AY17" s="5">
        <f t="shared" si="26"/>
        <v>645.09907052075562</v>
      </c>
      <c r="AZ17" s="5">
        <f t="shared" si="26"/>
        <v>625.7460984051329</v>
      </c>
      <c r="BA17" s="5">
        <f t="shared" si="26"/>
        <v>606.97371545297892</v>
      </c>
      <c r="BB17" s="5">
        <f t="shared" si="26"/>
        <v>588.76450398938948</v>
      </c>
      <c r="BC17" s="5">
        <f t="shared" si="26"/>
        <v>571.10156886970776</v>
      </c>
      <c r="BD17" s="5">
        <f t="shared" si="26"/>
        <v>553.96852180361657</v>
      </c>
      <c r="BE17" s="5">
        <f t="shared" si="26"/>
        <v>537.34946614950809</v>
      </c>
      <c r="BF17" s="5">
        <f t="shared" si="26"/>
        <v>521.22898216502279</v>
      </c>
      <c r="BG17" s="5">
        <f t="shared" si="26"/>
        <v>505.59211270007211</v>
      </c>
      <c r="BH17" s="5">
        <f t="shared" si="26"/>
        <v>490.4243493190699</v>
      </c>
      <c r="BI17" s="5">
        <f t="shared" si="26"/>
        <v>475.71161883949782</v>
      </c>
      <c r="BJ17" s="5">
        <f t="shared" si="26"/>
        <v>461.44027027431287</v>
      </c>
      <c r="BK17" s="5">
        <f t="shared" si="26"/>
        <v>447.59706216608345</v>
      </c>
      <c r="BL17" s="5">
        <f t="shared" si="26"/>
        <v>434.16915030110096</v>
      </c>
      <c r="BM17" s="5">
        <f t="shared" si="26"/>
        <v>421.14407579206789</v>
      </c>
      <c r="BN17" s="5">
        <f t="shared" si="26"/>
        <v>408.50975351830584</v>
      </c>
      <c r="BO17" s="5">
        <f t="shared" si="26"/>
        <v>396.25446091275666</v>
      </c>
      <c r="BP17" s="5">
        <f t="shared" si="26"/>
        <v>384.36682708537393</v>
      </c>
      <c r="BQ17" s="5">
        <f t="shared" si="26"/>
        <v>372.83582227281272</v>
      </c>
      <c r="BR17" s="5">
        <f t="shared" si="26"/>
        <v>361.65074760462835</v>
      </c>
      <c r="BS17" s="5">
        <f t="shared" si="26"/>
        <v>350.80122517648948</v>
      </c>
      <c r="BT17" s="5">
        <f t="shared" si="26"/>
        <v>340.27718842119481</v>
      </c>
      <c r="BU17" s="5">
        <f t="shared" si="26"/>
        <v>330.06887276855895</v>
      </c>
      <c r="BV17" s="5">
        <f t="shared" si="26"/>
        <v>320.16680658550217</v>
      </c>
      <c r="BW17" s="5">
        <f t="shared" si="26"/>
        <v>310.56180238793712</v>
      </c>
      <c r="BX17" s="5">
        <f t="shared" si="26"/>
        <v>301.24494831629897</v>
      </c>
      <c r="BY17" s="5">
        <f t="shared" si="26"/>
        <v>292.20759986680997</v>
      </c>
      <c r="BZ17" s="5">
        <f t="shared" si="26"/>
        <v>283.44137187080565</v>
      </c>
      <c r="CA17" s="5">
        <f t="shared" si="26"/>
        <v>274.93813071468145</v>
      </c>
      <c r="CB17" s="5">
        <f t="shared" si="26"/>
        <v>266.68998679324102</v>
      </c>
      <c r="CC17" s="5">
        <f t="shared" si="26"/>
        <v>258.6892871894438</v>
      </c>
      <c r="CD17" s="5">
        <f t="shared" si="26"/>
        <v>250.92860857376047</v>
      </c>
      <c r="CE17" s="5">
        <f t="shared" si="26"/>
        <v>243.40075031654766</v>
      </c>
      <c r="CF17" s="5">
        <f t="shared" si="26"/>
        <v>236.09872780705123</v>
      </c>
      <c r="CG17" s="5">
        <f t="shared" si="26"/>
        <v>229.01576597283969</v>
      </c>
      <c r="CH17" s="5">
        <f t="shared" si="26"/>
        <v>222.14529299365449</v>
      </c>
      <c r="CI17" s="5">
        <f t="shared" si="26"/>
        <v>215.48093420384484</v>
      </c>
      <c r="CJ17" s="5">
        <f t="shared" si="26"/>
        <v>209.0165061777295</v>
      </c>
      <c r="CK17" s="5">
        <f t="shared" si="26"/>
        <v>202.7460109923976</v>
      </c>
      <c r="CL17" s="5">
        <f t="shared" si="26"/>
        <v>196.66363066262568</v>
      </c>
      <c r="CM17" s="5">
        <f t="shared" si="26"/>
        <v>190.7637217427469</v>
      </c>
      <c r="CN17" s="5">
        <f t="shared" si="26"/>
        <v>185.04081009046448</v>
      </c>
      <c r="CO17" s="5">
        <f t="shared" si="26"/>
        <v>179.48958578775054</v>
      </c>
      <c r="CP17" s="5">
        <f t="shared" si="26"/>
        <v>174.10489821411801</v>
      </c>
      <c r="CQ17" s="5">
        <f t="shared" si="26"/>
        <v>168.88175126769445</v>
      </c>
      <c r="CR17" s="5">
        <f t="shared" si="26"/>
        <v>163.81529872966362</v>
      </c>
      <c r="CS17" s="5">
        <f t="shared" si="26"/>
        <v>158.9008397677737</v>
      </c>
      <c r="CT17" s="5">
        <f t="shared" si="26"/>
        <v>154.13381457474048</v>
      </c>
      <c r="CU17" s="5">
        <f t="shared" si="26"/>
        <v>149.50980013749827</v>
      </c>
      <c r="CV17" s="5">
        <f t="shared" ref="CV17:EE17" si="27">CU17*(1+$AK$22)</f>
        <v>145.02450613337334</v>
      </c>
      <c r="CW17" s="5">
        <f t="shared" si="27"/>
        <v>140.67377094937214</v>
      </c>
      <c r="CX17" s="5">
        <f t="shared" si="27"/>
        <v>136.45355782089098</v>
      </c>
      <c r="CY17" s="5">
        <f t="shared" si="27"/>
        <v>132.35995108626423</v>
      </c>
      <c r="CZ17" s="5">
        <f t="shared" si="27"/>
        <v>128.3891525536763</v>
      </c>
      <c r="DA17" s="5">
        <f t="shared" si="27"/>
        <v>124.537477977066</v>
      </c>
      <c r="DB17" s="5">
        <f t="shared" si="27"/>
        <v>120.80135363775402</v>
      </c>
      <c r="DC17" s="5">
        <f t="shared" si="27"/>
        <v>117.1773130286214</v>
      </c>
      <c r="DD17" s="5">
        <f t="shared" si="27"/>
        <v>113.66199363776275</v>
      </c>
      <c r="DE17" s="5">
        <f t="shared" si="27"/>
        <v>110.25213382862987</v>
      </c>
      <c r="DF17" s="5">
        <f t="shared" si="27"/>
        <v>106.94456981377097</v>
      </c>
      <c r="DG17" s="5">
        <f t="shared" si="27"/>
        <v>103.73623271935783</v>
      </c>
      <c r="DH17" s="5">
        <f t="shared" si="27"/>
        <v>100.6241457377771</v>
      </c>
      <c r="DI17" s="5">
        <f t="shared" si="27"/>
        <v>97.605421365643778</v>
      </c>
      <c r="DJ17" s="5">
        <f t="shared" si="27"/>
        <v>94.677258724674459</v>
      </c>
      <c r="DK17" s="5">
        <f t="shared" si="27"/>
        <v>91.836940962934221</v>
      </c>
      <c r="DL17" s="5">
        <f t="shared" si="27"/>
        <v>89.081832734046188</v>
      </c>
      <c r="DM17" s="5">
        <f t="shared" si="27"/>
        <v>86.409377752024795</v>
      </c>
      <c r="DN17" s="5">
        <f t="shared" si="27"/>
        <v>83.81709641946405</v>
      </c>
      <c r="DO17" s="5">
        <f t="shared" si="27"/>
        <v>81.302583526880127</v>
      </c>
      <c r="DP17" s="5">
        <f t="shared" si="27"/>
        <v>78.863506021073718</v>
      </c>
      <c r="DQ17" s="5">
        <f t="shared" si="27"/>
        <v>76.497600840441507</v>
      </c>
      <c r="DR17" s="5">
        <f t="shared" si="27"/>
        <v>74.202672815228254</v>
      </c>
      <c r="DS17" s="5">
        <f t="shared" si="27"/>
        <v>71.976592630771407</v>
      </c>
      <c r="DT17" s="5">
        <f t="shared" si="27"/>
        <v>69.81729485184826</v>
      </c>
      <c r="DU17" s="5">
        <f t="shared" si="27"/>
        <v>67.722776006292804</v>
      </c>
      <c r="DV17" s="5">
        <f t="shared" si="27"/>
        <v>65.691092726104017</v>
      </c>
      <c r="DW17" s="5">
        <f t="shared" si="27"/>
        <v>63.720359944320897</v>
      </c>
      <c r="DX17" s="5">
        <f t="shared" si="27"/>
        <v>61.808749145991271</v>
      </c>
      <c r="DY17" s="5">
        <f t="shared" si="27"/>
        <v>59.954486671611534</v>
      </c>
      <c r="DZ17" s="5">
        <f t="shared" si="27"/>
        <v>58.155852071463187</v>
      </c>
      <c r="EA17" s="5">
        <f t="shared" si="27"/>
        <v>56.41117650931929</v>
      </c>
      <c r="EB17" s="5">
        <f t="shared" si="27"/>
        <v>54.718841214039713</v>
      </c>
      <c r="EC17" s="5">
        <f t="shared" si="27"/>
        <v>53.07727597761852</v>
      </c>
      <c r="ED17" s="5">
        <f t="shared" si="27"/>
        <v>51.484957698289961</v>
      </c>
      <c r="EE17" s="5">
        <f t="shared" si="27"/>
        <v>49.940408967341263</v>
      </c>
    </row>
    <row r="18" spans="1:135" x14ac:dyDescent="0.2">
      <c r="A18" s="1" t="s">
        <v>16</v>
      </c>
      <c r="B18" s="6">
        <f t="shared" ref="B18:I18" si="28">+B17/B19</f>
        <v>-0.36853099498433334</v>
      </c>
      <c r="C18" s="6">
        <f t="shared" si="28"/>
        <v>-0.44848161718829765</v>
      </c>
      <c r="D18" s="6">
        <f t="shared" si="28"/>
        <v>-0.34423475387803104</v>
      </c>
      <c r="E18" s="6">
        <f t="shared" si="28"/>
        <v>-0.26671393280085071</v>
      </c>
      <c r="F18" s="6">
        <f t="shared" si="28"/>
        <v>-0.14027228425952226</v>
      </c>
      <c r="G18" s="6">
        <f t="shared" si="28"/>
        <v>-0.24493743381383573</v>
      </c>
      <c r="H18" s="6">
        <f t="shared" si="28"/>
        <v>-0.18323595119436328</v>
      </c>
      <c r="I18" s="6">
        <f t="shared" si="28"/>
        <v>-0.30570262998003639</v>
      </c>
      <c r="J18" s="6">
        <f t="shared" ref="J18" si="29">+J17/J19</f>
        <v>-0.18259830311382938</v>
      </c>
      <c r="O18" s="6">
        <f>+O17/O19</f>
        <v>-0.76801843036738671</v>
      </c>
      <c r="P18" s="6">
        <f>+P17/P19</f>
        <v>-0.86546336071545171</v>
      </c>
      <c r="Q18" s="6">
        <f>+Q17/Q19</f>
        <v>-1.2714461509335726</v>
      </c>
      <c r="R18" s="6">
        <f>+R17/R19</f>
        <v>-1.1670005739595632</v>
      </c>
      <c r="S18" s="6">
        <f>+S17/S19</f>
        <v>-0.80821087057753316</v>
      </c>
      <c r="T18" s="6">
        <f t="shared" ref="T18:AH18" si="30">+T17/T19</f>
        <v>-0.44051390839716897</v>
      </c>
      <c r="U18" s="6">
        <f t="shared" si="30"/>
        <v>0.10755127978821126</v>
      </c>
      <c r="V18" s="6">
        <f t="shared" si="30"/>
        <v>0.69923518151941688</v>
      </c>
      <c r="W18" s="6">
        <f t="shared" si="30"/>
        <v>1.3385631229061945</v>
      </c>
      <c r="X18" s="6">
        <f t="shared" si="30"/>
        <v>2.0600197968151903</v>
      </c>
      <c r="Y18" s="6">
        <f t="shared" si="30"/>
        <v>2.8604568969812703</v>
      </c>
      <c r="Z18" s="6">
        <f t="shared" si="30"/>
        <v>3.6650273087141296</v>
      </c>
      <c r="AA18" s="6">
        <f t="shared" si="30"/>
        <v>4.0773953060839521</v>
      </c>
      <c r="AB18" s="6">
        <f t="shared" si="30"/>
        <v>4.8435120365845039</v>
      </c>
      <c r="AC18" s="6">
        <f t="shared" si="30"/>
        <v>5.732218558704945</v>
      </c>
      <c r="AD18" s="6">
        <f t="shared" si="30"/>
        <v>6.7430852066494502</v>
      </c>
      <c r="AE18" s="6">
        <f t="shared" si="30"/>
        <v>7.8834422923181968</v>
      </c>
      <c r="AF18" s="6">
        <f t="shared" si="30"/>
        <v>9.1960289019776607</v>
      </c>
      <c r="AG18" s="6">
        <f t="shared" si="30"/>
        <v>10.696752400321504</v>
      </c>
      <c r="AH18" s="6">
        <f t="shared" si="30"/>
        <v>12.40552714817631</v>
      </c>
    </row>
    <row r="19" spans="1:135" x14ac:dyDescent="0.2">
      <c r="A19" s="1" t="s">
        <v>17</v>
      </c>
      <c r="B19" s="1">
        <v>87.126999999999995</v>
      </c>
      <c r="C19" s="1">
        <v>88.153000000000006</v>
      </c>
      <c r="D19" s="1">
        <v>89.284999999999997</v>
      </c>
      <c r="E19" s="1">
        <v>90.269000000000005</v>
      </c>
      <c r="F19" s="1">
        <v>91.522000000000006</v>
      </c>
      <c r="G19" s="1">
        <v>92.542000000000002</v>
      </c>
      <c r="H19" s="1">
        <v>93.103999999999999</v>
      </c>
      <c r="I19" s="1">
        <v>92.168000000000006</v>
      </c>
      <c r="J19" s="1">
        <v>92.876000000000005</v>
      </c>
      <c r="O19" s="1">
        <v>65.543999999999997</v>
      </c>
      <c r="P19" s="1">
        <v>79.614000000000004</v>
      </c>
      <c r="Q19" s="1">
        <v>84.513999999999996</v>
      </c>
      <c r="R19" s="1">
        <v>92.340999999999994</v>
      </c>
      <c r="S19" s="1">
        <v>92.340999999999994</v>
      </c>
      <c r="T19" s="1">
        <f>AVERAGE(O19:S19)</f>
        <v>82.870800000000003</v>
      </c>
      <c r="U19" s="1">
        <f t="shared" ref="U19:AH19" si="31">AVERAGE(P19:T19)</f>
        <v>86.336159999999992</v>
      </c>
      <c r="V19" s="1">
        <f t="shared" si="31"/>
        <v>87.68059199999999</v>
      </c>
      <c r="W19" s="1">
        <f t="shared" si="31"/>
        <v>88.313910399999997</v>
      </c>
      <c r="X19" s="1">
        <f t="shared" si="31"/>
        <v>87.508492480000001</v>
      </c>
      <c r="Y19" s="1">
        <f t="shared" si="31"/>
        <v>86.541990975999994</v>
      </c>
      <c r="Z19" s="1">
        <f t="shared" si="31"/>
        <v>87.276229171200001</v>
      </c>
      <c r="AA19" s="1">
        <f t="shared" si="31"/>
        <v>87.464243005439982</v>
      </c>
      <c r="AB19" s="1">
        <f t="shared" si="31"/>
        <v>87.420973206527989</v>
      </c>
      <c r="AC19" s="1">
        <f t="shared" si="31"/>
        <v>87.242385767833596</v>
      </c>
      <c r="AD19" s="1">
        <f t="shared" si="31"/>
        <v>87.189164425400321</v>
      </c>
      <c r="AE19" s="1">
        <f t="shared" si="31"/>
        <v>87.318599115280378</v>
      </c>
      <c r="AF19" s="1">
        <f t="shared" si="31"/>
        <v>87.327073104096456</v>
      </c>
      <c r="AG19" s="1">
        <f t="shared" si="31"/>
        <v>87.299639123827745</v>
      </c>
      <c r="AH19" s="1">
        <f t="shared" si="31"/>
        <v>87.275372307287711</v>
      </c>
    </row>
    <row r="21" spans="1:135" s="7" customFormat="1" x14ac:dyDescent="0.2">
      <c r="A21" s="7" t="s">
        <v>18</v>
      </c>
      <c r="B21" s="7">
        <f t="shared" ref="B21:I21" si="32">+B6/B4</f>
        <v>0.8159093837485798</v>
      </c>
      <c r="C21" s="7">
        <f t="shared" si="32"/>
        <v>0.79649429935847005</v>
      </c>
      <c r="D21" s="7">
        <f t="shared" si="32"/>
        <v>0.80884897508571907</v>
      </c>
      <c r="E21" s="7">
        <f t="shared" si="32"/>
        <v>0.8183150763623398</v>
      </c>
      <c r="F21" s="7">
        <f t="shared" si="32"/>
        <v>0.82627898417372103</v>
      </c>
      <c r="G21" s="7">
        <f t="shared" si="32"/>
        <v>0.81570584299732385</v>
      </c>
      <c r="H21" s="7">
        <f t="shared" si="32"/>
        <v>0.81875459896983083</v>
      </c>
      <c r="I21" s="7">
        <f t="shared" si="32"/>
        <v>0.81678771025135666</v>
      </c>
      <c r="J21" s="7">
        <f t="shared" ref="J21" si="33">+J6/J4</f>
        <v>0.82600834742561069</v>
      </c>
      <c r="O21" s="7">
        <f>+O6/O4</f>
        <v>0.85224615421608518</v>
      </c>
      <c r="P21" s="7">
        <f>+P6/P4</f>
        <v>0.85630935211373127</v>
      </c>
      <c r="Q21" s="7">
        <f>+Q6/Q4</f>
        <v>0.82813899273621516</v>
      </c>
      <c r="R21" s="7">
        <f>+R6/R4</f>
        <v>0.81004495769877005</v>
      </c>
      <c r="S21" s="7">
        <f>+S6/S4</f>
        <v>0.81928910909939423</v>
      </c>
      <c r="T21" s="7">
        <f t="shared" ref="T21:AH21" si="34">+T6/T4</f>
        <v>0.83107460198421634</v>
      </c>
      <c r="U21" s="7">
        <f t="shared" si="34"/>
        <v>0.84209147576785437</v>
      </c>
      <c r="V21" s="7">
        <f t="shared" si="34"/>
        <v>0.85238985778299436</v>
      </c>
      <c r="W21" s="7">
        <f t="shared" si="34"/>
        <v>0.86201660618845122</v>
      </c>
      <c r="X21" s="7">
        <f t="shared" si="34"/>
        <v>0.87101552317616093</v>
      </c>
      <c r="Y21" s="7">
        <f t="shared" si="34"/>
        <v>0.87942755427336772</v>
      </c>
      <c r="Z21" s="7">
        <f t="shared" si="34"/>
        <v>0.88729097464684381</v>
      </c>
      <c r="AA21" s="7">
        <f t="shared" si="34"/>
        <v>0.88985254340487008</v>
      </c>
      <c r="AB21" s="7">
        <f t="shared" si="34"/>
        <v>0.89235589469112309</v>
      </c>
      <c r="AC21" s="7">
        <f t="shared" si="34"/>
        <v>0.89480235162996113</v>
      </c>
      <c r="AD21" s="7">
        <f t="shared" si="34"/>
        <v>0.89719320727473484</v>
      </c>
      <c r="AE21" s="7">
        <f t="shared" si="34"/>
        <v>0.89952972529121811</v>
      </c>
      <c r="AF21" s="7">
        <f t="shared" si="34"/>
        <v>0.90181314062550866</v>
      </c>
      <c r="AG21" s="7">
        <f t="shared" si="34"/>
        <v>0.90404466015674712</v>
      </c>
      <c r="AH21" s="7">
        <f t="shared" si="34"/>
        <v>0.90622546333500287</v>
      </c>
      <c r="AJ21" s="11" t="s">
        <v>88</v>
      </c>
      <c r="AK21" s="7">
        <v>0.01</v>
      </c>
    </row>
    <row r="22" spans="1:135" s="7" customFormat="1" x14ac:dyDescent="0.2">
      <c r="A22" s="7" t="s">
        <v>19</v>
      </c>
      <c r="B22" s="7">
        <f t="shared" ref="B22:I22" si="35">+B11/B4</f>
        <v>-0.38018765154443557</v>
      </c>
      <c r="C22" s="7">
        <f t="shared" si="35"/>
        <v>-0.4197976798555173</v>
      </c>
      <c r="D22" s="7">
        <f t="shared" si="35"/>
        <v>-0.34544547413564325</v>
      </c>
      <c r="E22" s="7">
        <f t="shared" si="35"/>
        <v>-0.26236554879860546</v>
      </c>
      <c r="F22" s="7">
        <f t="shared" si="35"/>
        <v>-0.15303256300486215</v>
      </c>
      <c r="G22" s="7">
        <f t="shared" si="35"/>
        <v>-0.24320732976509057</v>
      </c>
      <c r="H22" s="7">
        <f t="shared" si="35"/>
        <v>-0.19170345842531272</v>
      </c>
      <c r="I22" s="7">
        <f t="shared" si="35"/>
        <v>-0.30086305425812426</v>
      </c>
      <c r="J22" s="7">
        <f t="shared" ref="J22" si="36">+J11/J4</f>
        <v>-0.19548987155039055</v>
      </c>
      <c r="O22" s="7">
        <f>+O11/O4</f>
        <v>-0.33398657056464942</v>
      </c>
      <c r="P22" s="7">
        <f>+P11/P4</f>
        <v>-0.31037292326134586</v>
      </c>
      <c r="Q22" s="7">
        <f>+Q11/Q4</f>
        <v>-0.36145147763294416</v>
      </c>
      <c r="R22" s="7">
        <f>+R11/R4</f>
        <v>-0.34891974767592704</v>
      </c>
      <c r="S22" s="7">
        <f>+S11/S4</f>
        <v>-0.22346464700405613</v>
      </c>
      <c r="T22" s="7">
        <f t="shared" ref="T22:AH22" si="37">+T11/T4</f>
        <v>-0.11983014062983785</v>
      </c>
      <c r="U22" s="7">
        <f t="shared" si="37"/>
        <v>-2.5329305830456138E-2</v>
      </c>
      <c r="V22" s="7">
        <f t="shared" si="37"/>
        <v>6.0875201570454895E-2</v>
      </c>
      <c r="W22" s="7">
        <f t="shared" si="37"/>
        <v>0.13954105308746712</v>
      </c>
      <c r="X22" s="7">
        <f t="shared" si="37"/>
        <v>0.21135408584770488</v>
      </c>
      <c r="Y22" s="7">
        <f t="shared" si="37"/>
        <v>0.27693534723650098</v>
      </c>
      <c r="Z22" s="7">
        <f t="shared" si="37"/>
        <v>0.33684742821234392</v>
      </c>
      <c r="AA22" s="7">
        <f t="shared" si="37"/>
        <v>0.3639456206561435</v>
      </c>
      <c r="AB22" s="7">
        <f t="shared" si="37"/>
        <v>0.3897435585540312</v>
      </c>
      <c r="AC22" s="7">
        <f t="shared" si="37"/>
        <v>0.41431265394343503</v>
      </c>
      <c r="AD22" s="7">
        <f t="shared" si="37"/>
        <v>0.43771999104003323</v>
      </c>
      <c r="AE22" s="7">
        <f t="shared" si="37"/>
        <v>0.46002860642256516</v>
      </c>
      <c r="AF22" s="7">
        <f t="shared" si="37"/>
        <v>0.48129775028800176</v>
      </c>
      <c r="AG22" s="7">
        <f t="shared" si="37"/>
        <v>0.50158313009119704</v>
      </c>
      <c r="AH22" s="7">
        <f t="shared" si="37"/>
        <v>0.52093713779034034</v>
      </c>
      <c r="AJ22" s="11" t="s">
        <v>89</v>
      </c>
      <c r="AK22" s="7">
        <v>-0.03</v>
      </c>
    </row>
    <row r="23" spans="1:135" s="7" customFormat="1" x14ac:dyDescent="0.2">
      <c r="A23" s="7" t="s">
        <v>20</v>
      </c>
      <c r="B23" s="7">
        <f t="shared" ref="B23:I23" si="38">+B17/B4</f>
        <v>-0.37611132586006968</v>
      </c>
      <c r="C23" s="7">
        <f t="shared" si="38"/>
        <v>-0.43804638072972646</v>
      </c>
      <c r="D23" s="7">
        <f t="shared" si="38"/>
        <v>-0.32626349479315941</v>
      </c>
      <c r="E23" s="7">
        <f t="shared" si="38"/>
        <v>-0.23845651011231497</v>
      </c>
      <c r="F23" s="7">
        <f t="shared" si="38"/>
        <v>-0.12434380024407723</v>
      </c>
      <c r="G23" s="7">
        <f t="shared" si="38"/>
        <v>-0.2106285310734462</v>
      </c>
      <c r="H23" s="7">
        <f t="shared" si="38"/>
        <v>-0.15691685062545987</v>
      </c>
      <c r="I23" s="7">
        <f t="shared" si="38"/>
        <v>-0.25357056076027967</v>
      </c>
      <c r="J23" s="7">
        <f t="shared" ref="J23" si="39">+J17/J4</f>
        <v>-0.15254740402259578</v>
      </c>
      <c r="O23" s="7">
        <f>+O17/O4</f>
        <v>-0.30260713791921895</v>
      </c>
      <c r="P23" s="7">
        <f>+P17/P4</f>
        <v>-0.32264605068459784</v>
      </c>
      <c r="Q23" s="7">
        <f>+Q17/Q4</f>
        <v>-0.3818639923808439</v>
      </c>
      <c r="R23" s="7">
        <f>+R17/R4</f>
        <v>-0.29062576693734782</v>
      </c>
      <c r="S23" s="7">
        <f>+S17/S4</f>
        <v>-0.173278786344988</v>
      </c>
      <c r="T23" s="7">
        <v>-0.1</v>
      </c>
      <c r="U23" s="7">
        <v>-0.05</v>
      </c>
      <c r="V23" s="7">
        <v>0.05</v>
      </c>
      <c r="W23" s="7">
        <v>0.1</v>
      </c>
      <c r="X23" s="7">
        <v>0.15</v>
      </c>
      <c r="Y23" s="7">
        <v>0.2</v>
      </c>
      <c r="Z23" s="7">
        <v>0.25</v>
      </c>
      <c r="AA23" s="7">
        <v>0.3</v>
      </c>
      <c r="AB23" s="7">
        <v>0.3</v>
      </c>
      <c r="AC23" s="7">
        <v>0.3</v>
      </c>
      <c r="AD23" s="7">
        <v>0.3</v>
      </c>
      <c r="AE23" s="7">
        <v>0.3</v>
      </c>
      <c r="AF23" s="7">
        <v>0.3</v>
      </c>
      <c r="AG23" s="7">
        <v>0.3</v>
      </c>
      <c r="AH23" s="7">
        <v>0.3</v>
      </c>
      <c r="AJ23" s="11" t="s">
        <v>90</v>
      </c>
      <c r="AK23" s="7">
        <v>0.11</v>
      </c>
    </row>
    <row r="24" spans="1:135" s="7" customFormat="1" x14ac:dyDescent="0.2">
      <c r="A24" s="7" t="s">
        <v>34</v>
      </c>
      <c r="W24" s="7">
        <f>+W16/W15</f>
        <v>0.1</v>
      </c>
      <c r="X24" s="7">
        <f t="shared" ref="X24:AH24" si="40">+X16/X15</f>
        <v>0.15</v>
      </c>
      <c r="Y24" s="7">
        <f t="shared" si="40"/>
        <v>0.2</v>
      </c>
      <c r="Z24" s="7">
        <f t="shared" si="40"/>
        <v>0.25</v>
      </c>
      <c r="AA24" s="7">
        <f t="shared" si="40"/>
        <v>0.3</v>
      </c>
      <c r="AB24" s="7">
        <f t="shared" si="40"/>
        <v>0.3</v>
      </c>
      <c r="AC24" s="7">
        <f t="shared" si="40"/>
        <v>0.3</v>
      </c>
      <c r="AD24" s="7">
        <f t="shared" si="40"/>
        <v>0.3</v>
      </c>
      <c r="AE24" s="7">
        <f t="shared" si="40"/>
        <v>0.3</v>
      </c>
      <c r="AF24" s="7">
        <f t="shared" si="40"/>
        <v>0.3</v>
      </c>
      <c r="AG24" s="7">
        <f t="shared" si="40"/>
        <v>0.3</v>
      </c>
      <c r="AH24" s="7">
        <f t="shared" si="40"/>
        <v>0.3</v>
      </c>
      <c r="AJ24" s="11" t="s">
        <v>91</v>
      </c>
      <c r="AK24" s="14">
        <f>NPV(AK23,T17:EE17)</f>
        <v>3588.0355955634445</v>
      </c>
    </row>
    <row r="25" spans="1:135" s="7" customFormat="1" x14ac:dyDescent="0.2">
      <c r="AJ25" s="11" t="s">
        <v>39</v>
      </c>
      <c r="AK25" s="14">
        <f>+S31</f>
        <v>123.15900000000011</v>
      </c>
    </row>
    <row r="26" spans="1:135" s="8" customFormat="1" x14ac:dyDescent="0.2">
      <c r="A26" s="8" t="s">
        <v>21</v>
      </c>
      <c r="F26" s="8">
        <f>+F4/B4-1</f>
        <v>0.20938023450586263</v>
      </c>
      <c r="G26" s="8">
        <f>+G4/C4-1</f>
        <v>0.19238141668420994</v>
      </c>
      <c r="H26" s="8">
        <f>+H4/D4-1</f>
        <v>0.15410337250406037</v>
      </c>
      <c r="I26" s="8">
        <f>+I4/E4-1</f>
        <v>0.10053879523800102</v>
      </c>
      <c r="J26" s="8">
        <f>+J4/F4-1</f>
        <v>7.6768107239021388E-2</v>
      </c>
      <c r="P26" s="8">
        <f>+P4/O4-1</f>
        <v>0.28376745556083227</v>
      </c>
      <c r="Q26" s="8">
        <f>+Q4/P4-1</f>
        <v>0.31766843357245866</v>
      </c>
      <c r="R26" s="8">
        <f>+R4/Q4-1</f>
        <v>0.31769108302889881</v>
      </c>
      <c r="S26" s="8">
        <f>+S4/R4-1</f>
        <v>0.16156184178234212</v>
      </c>
      <c r="T26" s="8">
        <f t="shared" ref="T26:AH26" si="41">+T4/S4-1</f>
        <v>0.14999999999999991</v>
      </c>
      <c r="U26" s="8">
        <f t="shared" si="41"/>
        <v>0.14999999999999991</v>
      </c>
      <c r="V26" s="8">
        <f t="shared" si="41"/>
        <v>0.14999999999999991</v>
      </c>
      <c r="W26" s="8">
        <f>+W4/V4-1</f>
        <v>0.14999999999999991</v>
      </c>
      <c r="X26" s="8">
        <f t="shared" si="41"/>
        <v>0.14999999999999991</v>
      </c>
      <c r="Y26" s="8">
        <f t="shared" si="41"/>
        <v>0.14999999999999991</v>
      </c>
      <c r="Z26" s="8">
        <f t="shared" si="41"/>
        <v>0.14999999999999991</v>
      </c>
      <c r="AA26" s="8">
        <f t="shared" si="41"/>
        <v>0.10000000000000009</v>
      </c>
      <c r="AB26" s="8">
        <f t="shared" si="41"/>
        <v>0.10000000000000009</v>
      </c>
      <c r="AC26" s="8">
        <f t="shared" si="41"/>
        <v>0.10000000000000009</v>
      </c>
      <c r="AD26" s="8">
        <f t="shared" si="41"/>
        <v>0.10000000000000009</v>
      </c>
      <c r="AE26" s="8">
        <f t="shared" si="41"/>
        <v>0.10000000000000009</v>
      </c>
      <c r="AF26" s="8">
        <f t="shared" si="41"/>
        <v>0.10000000000000009</v>
      </c>
      <c r="AG26" s="8">
        <f t="shared" si="41"/>
        <v>0.10000000000000009</v>
      </c>
      <c r="AH26" s="8">
        <f t="shared" si="41"/>
        <v>0.10000000000000009</v>
      </c>
      <c r="AJ26" s="11" t="s">
        <v>92</v>
      </c>
      <c r="AK26" s="15">
        <f>+AK24-AK25</f>
        <v>3464.8765955634444</v>
      </c>
    </row>
    <row r="27" spans="1:135" s="7" customFormat="1" x14ac:dyDescent="0.2">
      <c r="A27" s="11" t="s">
        <v>85</v>
      </c>
      <c r="F27" s="7">
        <f t="shared" ref="F27:H27" si="42">+F7/B7-1</f>
        <v>7.0919492473393131E-2</v>
      </c>
      <c r="G27" s="7">
        <f t="shared" si="42"/>
        <v>7.1352972305521289E-2</v>
      </c>
      <c r="H27" s="7">
        <f t="shared" si="42"/>
        <v>-2.0911895783339074E-2</v>
      </c>
      <c r="I27" s="7">
        <f t="shared" ref="I27:J29" si="43">+I7/E7-1</f>
        <v>2.8320171251699389E-2</v>
      </c>
      <c r="J27" s="7">
        <f t="shared" si="43"/>
        <v>0.11982213202817249</v>
      </c>
      <c r="P27" s="7">
        <f t="shared" ref="P27:R27" si="44">+P7/O7-1</f>
        <v>0.31737773152965665</v>
      </c>
      <c r="Q27" s="7">
        <f t="shared" si="44"/>
        <v>0.48204937583248131</v>
      </c>
      <c r="R27" s="7">
        <f t="shared" si="44"/>
        <v>0.40950987564008789</v>
      </c>
      <c r="S27" s="7">
        <f>+S7/R7-1</f>
        <v>3.6277766244550591E-2</v>
      </c>
      <c r="T27" s="7">
        <f t="shared" ref="T27:AH27" si="45">+T7/S7-1</f>
        <v>7.0000000000000062E-2</v>
      </c>
      <c r="U27" s="7">
        <f t="shared" si="45"/>
        <v>7.0000000000000062E-2</v>
      </c>
      <c r="V27" s="7">
        <f t="shared" si="45"/>
        <v>7.0000000000000062E-2</v>
      </c>
      <c r="W27" s="7">
        <f t="shared" si="45"/>
        <v>7.0000000000000062E-2</v>
      </c>
      <c r="X27" s="7">
        <f t="shared" si="45"/>
        <v>7.0000000000000062E-2</v>
      </c>
      <c r="Y27" s="7">
        <f t="shared" si="45"/>
        <v>7.0000000000000062E-2</v>
      </c>
      <c r="Z27" s="7">
        <f t="shared" si="45"/>
        <v>7.0000000000000062E-2</v>
      </c>
      <c r="AA27" s="7">
        <f t="shared" si="45"/>
        <v>7.0000000000000062E-2</v>
      </c>
      <c r="AB27" s="7">
        <f t="shared" si="45"/>
        <v>7.0000000000000062E-2</v>
      </c>
      <c r="AC27" s="7">
        <f t="shared" si="45"/>
        <v>7.0000000000000062E-2</v>
      </c>
      <c r="AD27" s="7">
        <f t="shared" si="45"/>
        <v>7.0000000000000062E-2</v>
      </c>
      <c r="AE27" s="7">
        <f t="shared" si="45"/>
        <v>7.0000000000000062E-2</v>
      </c>
      <c r="AF27" s="7">
        <f t="shared" si="45"/>
        <v>7.0000000000000062E-2</v>
      </c>
      <c r="AG27" s="7">
        <f t="shared" si="45"/>
        <v>7.0000000000000062E-2</v>
      </c>
      <c r="AH27" s="7">
        <f t="shared" si="45"/>
        <v>7.0000000000000062E-2</v>
      </c>
      <c r="AJ27" s="11" t="s">
        <v>93</v>
      </c>
      <c r="AK27" s="14">
        <f>+Main!D3</f>
        <v>20.5</v>
      </c>
    </row>
    <row r="28" spans="1:135" s="7" customFormat="1" x14ac:dyDescent="0.2">
      <c r="A28" s="11" t="s">
        <v>86</v>
      </c>
      <c r="F28" s="7">
        <f>+F8/B8-1</f>
        <v>-3.8439585528626585E-2</v>
      </c>
      <c r="G28" s="7">
        <f>+G8/C8-1</f>
        <v>-1.206016172935187E-2</v>
      </c>
      <c r="H28" s="12">
        <f>+H8/D8-1</f>
        <v>5.3312958954115253E-2</v>
      </c>
      <c r="I28" s="7">
        <f t="shared" si="43"/>
        <v>1.8870793029398758E-2</v>
      </c>
      <c r="J28" s="7">
        <f t="shared" si="43"/>
        <v>0.107257825163809</v>
      </c>
      <c r="P28" s="7">
        <f t="shared" ref="P28:R28" si="46">+P8/O8-1</f>
        <v>0.25480225988700567</v>
      </c>
      <c r="Q28" s="7">
        <f t="shared" si="46"/>
        <v>0.32310589005771351</v>
      </c>
      <c r="R28" s="7">
        <f t="shared" si="46"/>
        <v>0.21035242290748912</v>
      </c>
      <c r="S28" s="7">
        <f>+S8/R8-1</f>
        <v>5.8633487031110043E-3</v>
      </c>
      <c r="T28" s="7">
        <f t="shared" ref="T28:AH28" si="47">+T8/S8-1</f>
        <v>5.0000000000000044E-2</v>
      </c>
      <c r="U28" s="7">
        <f t="shared" si="47"/>
        <v>5.0000000000000044E-2</v>
      </c>
      <c r="V28" s="7">
        <f t="shared" si="47"/>
        <v>5.0000000000000044E-2</v>
      </c>
      <c r="W28" s="7">
        <f t="shared" si="47"/>
        <v>5.0000000000000044E-2</v>
      </c>
      <c r="X28" s="7">
        <f t="shared" si="47"/>
        <v>5.0000000000000044E-2</v>
      </c>
      <c r="Y28" s="7">
        <f t="shared" si="47"/>
        <v>5.0000000000000044E-2</v>
      </c>
      <c r="Z28" s="7">
        <f t="shared" si="47"/>
        <v>5.0000000000000044E-2</v>
      </c>
      <c r="AA28" s="7">
        <f t="shared" si="47"/>
        <v>5.0000000000000044E-2</v>
      </c>
      <c r="AB28" s="7">
        <f t="shared" si="47"/>
        <v>5.0000000000000044E-2</v>
      </c>
      <c r="AC28" s="7">
        <f t="shared" si="47"/>
        <v>5.0000000000000044E-2</v>
      </c>
      <c r="AD28" s="7">
        <f t="shared" si="47"/>
        <v>5.0000000000000044E-2</v>
      </c>
      <c r="AE28" s="7">
        <f t="shared" si="47"/>
        <v>5.0000000000000044E-2</v>
      </c>
      <c r="AF28" s="7">
        <f t="shared" si="47"/>
        <v>5.0000000000000044E-2</v>
      </c>
      <c r="AG28" s="7">
        <f t="shared" si="47"/>
        <v>5.0000000000000044E-2</v>
      </c>
      <c r="AH28" s="7">
        <f t="shared" si="47"/>
        <v>5.0000000000000044E-2</v>
      </c>
      <c r="AJ28" s="11" t="s">
        <v>94</v>
      </c>
      <c r="AK28" s="14">
        <f>+AK26/Main!D4</f>
        <v>37.356519662503302</v>
      </c>
    </row>
    <row r="29" spans="1:135" s="7" customFormat="1" x14ac:dyDescent="0.2">
      <c r="A29" s="11" t="s">
        <v>87</v>
      </c>
      <c r="F29" s="7">
        <f t="shared" ref="F29:H29" si="48">+F9/B9-1</f>
        <v>-5.8169443235329132E-2</v>
      </c>
      <c r="G29" s="7">
        <f t="shared" si="48"/>
        <v>9.2886074953792974E-2</v>
      </c>
      <c r="H29" s="7">
        <f t="shared" si="48"/>
        <v>-2.4834685903216136E-2</v>
      </c>
      <c r="I29" s="7">
        <f t="shared" si="43"/>
        <v>0.59784691177812244</v>
      </c>
      <c r="J29" s="7">
        <f t="shared" si="43"/>
        <v>0.1570942397378261</v>
      </c>
      <c r="P29" s="7">
        <f t="shared" ref="P29:R29" si="49">+P9/O9-1</f>
        <v>0.22485775946635278</v>
      </c>
      <c r="Q29" s="7">
        <f t="shared" si="49"/>
        <v>0.24028127052265713</v>
      </c>
      <c r="R29" s="7">
        <f t="shared" si="49"/>
        <v>0.28161483624341344</v>
      </c>
      <c r="S29" s="7">
        <f>+S9/R9-1</f>
        <v>0.13439408291178778</v>
      </c>
      <c r="T29" s="7">
        <f t="shared" ref="T29:AH29" si="50">+T9/S9-1</f>
        <v>2.0000000000000018E-2</v>
      </c>
      <c r="U29" s="7">
        <f t="shared" si="50"/>
        <v>2.0000000000000018E-2</v>
      </c>
      <c r="V29" s="7">
        <f t="shared" si="50"/>
        <v>2.0000000000000018E-2</v>
      </c>
      <c r="W29" s="7">
        <f t="shared" si="50"/>
        <v>2.0000000000000018E-2</v>
      </c>
      <c r="X29" s="7">
        <f t="shared" si="50"/>
        <v>2.0000000000000018E-2</v>
      </c>
      <c r="Y29" s="7">
        <f t="shared" si="50"/>
        <v>2.0000000000000018E-2</v>
      </c>
      <c r="Z29" s="7">
        <f t="shared" si="50"/>
        <v>2.0000000000000018E-2</v>
      </c>
      <c r="AA29" s="7">
        <f t="shared" si="50"/>
        <v>2.0000000000000018E-2</v>
      </c>
      <c r="AB29" s="7">
        <f t="shared" si="50"/>
        <v>2.0000000000000018E-2</v>
      </c>
      <c r="AC29" s="7">
        <f t="shared" si="50"/>
        <v>2.0000000000000018E-2</v>
      </c>
      <c r="AD29" s="7">
        <f t="shared" si="50"/>
        <v>2.0000000000000018E-2</v>
      </c>
      <c r="AE29" s="7">
        <f t="shared" si="50"/>
        <v>2.0000000000000018E-2</v>
      </c>
      <c r="AF29" s="7">
        <f t="shared" si="50"/>
        <v>2.0000000000000018E-2</v>
      </c>
      <c r="AG29" s="7">
        <f t="shared" si="50"/>
        <v>2.0000000000000018E-2</v>
      </c>
      <c r="AH29" s="7">
        <f t="shared" si="50"/>
        <v>2.0000000000000018E-2</v>
      </c>
      <c r="AJ29" s="27" t="s">
        <v>98</v>
      </c>
      <c r="AK29" s="7">
        <f>+AK28/AK27-1</f>
        <v>0.82226925182942945</v>
      </c>
    </row>
    <row r="31" spans="1:135" x14ac:dyDescent="0.2">
      <c r="A31" s="1" t="s">
        <v>39</v>
      </c>
      <c r="B31" s="1">
        <f t="shared" ref="B31:J31" si="51">+B32-B47</f>
        <v>185.94399999999996</v>
      </c>
      <c r="C31" s="1">
        <f t="shared" si="51"/>
        <v>188.81100000000004</v>
      </c>
      <c r="D31" s="1">
        <f t="shared" si="51"/>
        <v>176.99200000000002</v>
      </c>
      <c r="E31" s="1">
        <f t="shared" si="51"/>
        <v>194.05899999999997</v>
      </c>
      <c r="F31" s="1">
        <f t="shared" si="51"/>
        <v>211.76900000000001</v>
      </c>
      <c r="G31" s="1">
        <f t="shared" si="51"/>
        <v>220.63599999999997</v>
      </c>
      <c r="H31" s="1">
        <f t="shared" si="51"/>
        <v>127.92399999999998</v>
      </c>
      <c r="I31" s="1">
        <f t="shared" si="51"/>
        <v>123.15900000000011</v>
      </c>
      <c r="J31" s="1">
        <f t="shared" si="51"/>
        <v>144.11600000000004</v>
      </c>
      <c r="S31" s="1">
        <f>+I31</f>
        <v>123.15900000000011</v>
      </c>
      <c r="T31" s="1">
        <f>+S31+T17</f>
        <v>86.653259999999989</v>
      </c>
      <c r="U31" s="1">
        <f t="shared" ref="U31:AH31" si="52">+T31+U17</f>
        <v>95.938824499999754</v>
      </c>
      <c r="V31" s="1">
        <f t="shared" si="52"/>
        <v>157.24817916284968</v>
      </c>
      <c r="W31" s="1">
        <f t="shared" si="52"/>
        <v>275.46192286393153</v>
      </c>
      <c r="X31" s="1">
        <f t="shared" si="52"/>
        <v>455.73114976218471</v>
      </c>
      <c r="Y31" s="1">
        <f t="shared" si="52"/>
        <v>703.28078472797472</v>
      </c>
      <c r="Z31" s="1">
        <f t="shared" si="52"/>
        <v>1023.1505480420155</v>
      </c>
      <c r="AA31" s="1">
        <f t="shared" si="52"/>
        <v>1379.7768419225827</v>
      </c>
      <c r="AB31" s="1">
        <f t="shared" si="52"/>
        <v>1803.2013778983323</v>
      </c>
      <c r="AC31" s="1">
        <f t="shared" si="52"/>
        <v>2303.293800702404</v>
      </c>
      <c r="AD31" s="1">
        <f t="shared" si="52"/>
        <v>2891.2177655194473</v>
      </c>
      <c r="AE31" s="1">
        <f t="shared" si="52"/>
        <v>3579.5889026908271</v>
      </c>
      <c r="AF31" s="1">
        <f t="shared" si="52"/>
        <v>4382.6511908812145</v>
      </c>
      <c r="AG31" s="1">
        <f t="shared" si="52"/>
        <v>5316.4738152262198</v>
      </c>
      <c r="AH31" s="1">
        <f t="shared" si="52"/>
        <v>6399.1708157514722</v>
      </c>
    </row>
    <row r="32" spans="1:135" x14ac:dyDescent="0.2">
      <c r="A32" s="1" t="s">
        <v>30</v>
      </c>
      <c r="B32" s="1">
        <f>273.859+193.6</f>
        <v>467.45899999999995</v>
      </c>
      <c r="C32" s="1">
        <f>278.331+192.464</f>
        <v>470.79500000000002</v>
      </c>
      <c r="D32" s="1">
        <f>262.333+197.104</f>
        <v>459.43700000000001</v>
      </c>
      <c r="E32" s="1">
        <f>274.019+202.948</f>
        <v>476.96699999999998</v>
      </c>
      <c r="F32" s="1">
        <f>300.605+194.527</f>
        <v>495.13200000000001</v>
      </c>
      <c r="G32" s="1">
        <f>298.558+205.919</f>
        <v>504.47699999999998</v>
      </c>
      <c r="H32" s="1">
        <f>380.307+195.006</f>
        <v>575.31299999999999</v>
      </c>
      <c r="I32" s="1">
        <f>363.011+208.178</f>
        <v>571.18900000000008</v>
      </c>
      <c r="J32" s="1">
        <f>382.541+210.242</f>
        <v>592.78300000000002</v>
      </c>
    </row>
    <row r="33" spans="1:10" x14ac:dyDescent="0.2">
      <c r="A33" s="1" t="s">
        <v>40</v>
      </c>
      <c r="B33" s="1">
        <v>60.113999999999997</v>
      </c>
      <c r="C33" s="1">
        <v>59.305</v>
      </c>
      <c r="D33" s="1">
        <v>72.628</v>
      </c>
      <c r="E33" s="1">
        <v>91.344999999999999</v>
      </c>
      <c r="F33" s="1">
        <v>61.125</v>
      </c>
      <c r="G33" s="1">
        <v>65.632999999999996</v>
      </c>
      <c r="H33" s="1">
        <v>71.105999999999995</v>
      </c>
      <c r="I33" s="1">
        <v>100.413</v>
      </c>
      <c r="J33" s="1">
        <v>77.536000000000001</v>
      </c>
    </row>
    <row r="34" spans="1:10" x14ac:dyDescent="0.2">
      <c r="A34" s="1" t="s">
        <v>41</v>
      </c>
      <c r="B34" s="1">
        <v>17.059999999999999</v>
      </c>
      <c r="C34" s="1">
        <v>17.396999999999998</v>
      </c>
      <c r="D34" s="1">
        <v>18.007000000000001</v>
      </c>
      <c r="E34" s="1">
        <f>18.674+27.715</f>
        <v>46.388999999999996</v>
      </c>
      <c r="F34" s="1">
        <v>18.582000000000001</v>
      </c>
      <c r="G34" s="1">
        <v>18.442</v>
      </c>
      <c r="H34" s="1">
        <v>15.593</v>
      </c>
      <c r="I34" s="1">
        <f>19.502</f>
        <v>19.501999999999999</v>
      </c>
      <c r="J34" s="1">
        <f>19.612</f>
        <v>19.611999999999998</v>
      </c>
    </row>
    <row r="35" spans="1:10" x14ac:dyDescent="0.2">
      <c r="A35" s="1" t="s">
        <v>42</v>
      </c>
      <c r="B35" s="1">
        <v>13.284000000000001</v>
      </c>
      <c r="C35" s="1">
        <v>12.087</v>
      </c>
      <c r="D35" s="1">
        <v>13.545</v>
      </c>
      <c r="E35" s="1">
        <v>13.35</v>
      </c>
      <c r="F35" s="1">
        <v>15.387</v>
      </c>
      <c r="G35" s="1">
        <v>14.336</v>
      </c>
      <c r="H35" s="1">
        <v>15.742000000000001</v>
      </c>
      <c r="I35" s="1">
        <v>12.093999999999999</v>
      </c>
      <c r="J35" s="1">
        <v>17.045000000000002</v>
      </c>
    </row>
    <row r="36" spans="1:10" x14ac:dyDescent="0.2">
      <c r="A36" s="1" t="s">
        <v>43</v>
      </c>
      <c r="B36" s="1">
        <v>17.946000000000002</v>
      </c>
      <c r="C36" s="1">
        <v>18.501999999999999</v>
      </c>
      <c r="D36" s="1">
        <v>18.338999999999999</v>
      </c>
      <c r="E36" s="1">
        <v>18.39</v>
      </c>
      <c r="F36" s="1">
        <v>18.335000000000001</v>
      </c>
      <c r="G36" s="1">
        <v>17.893999999999998</v>
      </c>
      <c r="H36" s="1">
        <v>18.745999999999999</v>
      </c>
      <c r="I36" s="1">
        <v>17.632000000000001</v>
      </c>
      <c r="J36" s="1">
        <v>17.399999999999999</v>
      </c>
    </row>
    <row r="37" spans="1:10" x14ac:dyDescent="0.2">
      <c r="A37" s="1" t="s">
        <v>84</v>
      </c>
      <c r="B37" s="1">
        <v>26.303999999999998</v>
      </c>
      <c r="C37" s="1">
        <v>26.210999999999999</v>
      </c>
      <c r="D37" s="1">
        <v>26.968</v>
      </c>
      <c r="E37" s="1">
        <v>0</v>
      </c>
      <c r="F37" s="1">
        <v>26.189</v>
      </c>
      <c r="G37" s="1">
        <v>24.548999999999999</v>
      </c>
      <c r="H37" s="1">
        <v>24.495000000000001</v>
      </c>
      <c r="I37" s="1">
        <v>25.117999999999999</v>
      </c>
      <c r="J37" s="1">
        <v>24.532</v>
      </c>
    </row>
    <row r="38" spans="1:10" x14ac:dyDescent="0.2">
      <c r="A38" s="1" t="s">
        <v>44</v>
      </c>
      <c r="B38" s="1">
        <v>19.082000000000001</v>
      </c>
      <c r="C38" s="1">
        <v>17.925000000000001</v>
      </c>
      <c r="D38" s="1">
        <v>15.141</v>
      </c>
      <c r="E38" s="1">
        <v>13.981999999999999</v>
      </c>
      <c r="F38" s="1">
        <v>12.805999999999999</v>
      </c>
      <c r="G38" s="1">
        <v>11.225</v>
      </c>
      <c r="H38" s="1">
        <v>10.119999999999999</v>
      </c>
      <c r="I38" s="1">
        <v>3.7890000000000001</v>
      </c>
      <c r="J38" s="1">
        <v>2.9430000000000001</v>
      </c>
    </row>
    <row r="39" spans="1:10" x14ac:dyDescent="0.2">
      <c r="A39" s="1" t="s">
        <v>45</v>
      </c>
      <c r="B39" s="1">
        <f>119.262+43.092</f>
        <v>162.35399999999998</v>
      </c>
      <c r="C39" s="1">
        <f>118.862+42.658</f>
        <v>161.51999999999998</v>
      </c>
      <c r="D39" s="1">
        <f>118.862+40.029</f>
        <v>158.89099999999999</v>
      </c>
      <c r="E39" s="1">
        <f>118.862+37.224</f>
        <v>156.08599999999998</v>
      </c>
      <c r="F39" s="1">
        <f>118.862+34.418</f>
        <v>153.28</v>
      </c>
      <c r="G39" s="1">
        <f>118.862+31.612</f>
        <v>150.47399999999999</v>
      </c>
      <c r="H39" s="1">
        <f>118.862+28.807</f>
        <v>147.66899999999998</v>
      </c>
      <c r="I39" s="1">
        <f>137.401+32.616</f>
        <v>170.017</v>
      </c>
      <c r="J39" s="1">
        <f>137.401+29.467</f>
        <v>166.86799999999999</v>
      </c>
    </row>
    <row r="40" spans="1:10" x14ac:dyDescent="0.2">
      <c r="A40" s="22" t="s">
        <v>64</v>
      </c>
      <c r="B40" s="1">
        <v>1.0920000000000001</v>
      </c>
      <c r="C40" s="1">
        <v>1.0209999999999999</v>
      </c>
      <c r="D40" s="1">
        <v>1.054</v>
      </c>
      <c r="E40" s="1">
        <v>1.3640000000000001</v>
      </c>
      <c r="F40" s="1">
        <v>0.995</v>
      </c>
      <c r="G40" s="1">
        <v>4.8680000000000003</v>
      </c>
      <c r="H40" s="1">
        <v>4.6459999999999999</v>
      </c>
      <c r="I40" s="1">
        <v>5.5519999999999996</v>
      </c>
      <c r="J40" s="1">
        <v>5.3239999999999998</v>
      </c>
    </row>
    <row r="41" spans="1:10" s="5" customFormat="1" x14ac:dyDescent="0.2">
      <c r="A41" s="5" t="s">
        <v>51</v>
      </c>
      <c r="B41" s="5">
        <f t="shared" ref="B41:J41" si="53">SUM(B32:B40)</f>
        <v>784.69499999999982</v>
      </c>
      <c r="C41" s="5">
        <f t="shared" si="53"/>
        <v>784.76299999999992</v>
      </c>
      <c r="D41" s="5">
        <f t="shared" si="53"/>
        <v>784.00999999999976</v>
      </c>
      <c r="E41" s="5">
        <f t="shared" si="53"/>
        <v>817.87300000000005</v>
      </c>
      <c r="F41" s="5">
        <f t="shared" si="53"/>
        <v>801.83100000000013</v>
      </c>
      <c r="G41" s="5">
        <f t="shared" si="53"/>
        <v>811.89800000000002</v>
      </c>
      <c r="H41" s="5">
        <f t="shared" si="53"/>
        <v>883.42999999999984</v>
      </c>
      <c r="I41" s="5">
        <f t="shared" si="53"/>
        <v>925.30600000000015</v>
      </c>
      <c r="J41" s="5">
        <f t="shared" si="53"/>
        <v>924.04299999999978</v>
      </c>
    </row>
    <row r="42" spans="1:10" x14ac:dyDescent="0.2">
      <c r="A42" s="1" t="s">
        <v>46</v>
      </c>
      <c r="B42" s="1">
        <v>9.32</v>
      </c>
      <c r="C42" s="1">
        <v>6.6</v>
      </c>
      <c r="D42" s="1">
        <v>7.6920000000000002</v>
      </c>
      <c r="E42" s="1">
        <v>7.3979999999999997</v>
      </c>
      <c r="F42" s="1">
        <v>6.1239999999999997</v>
      </c>
      <c r="G42" s="1">
        <v>7.1449999999999996</v>
      </c>
      <c r="H42" s="1">
        <v>6.7629999999999999</v>
      </c>
      <c r="I42" s="1">
        <v>6.242</v>
      </c>
      <c r="J42" s="1">
        <v>6.5579999999999998</v>
      </c>
    </row>
    <row r="43" spans="1:10" x14ac:dyDescent="0.2">
      <c r="A43" s="1" t="s">
        <v>47</v>
      </c>
      <c r="B43" s="1">
        <v>14.195</v>
      </c>
      <c r="C43" s="1">
        <v>18.268000000000001</v>
      </c>
      <c r="D43" s="1">
        <v>12.884</v>
      </c>
      <c r="E43" s="1">
        <v>11.804</v>
      </c>
      <c r="F43" s="1">
        <v>11.32</v>
      </c>
      <c r="G43" s="1">
        <v>10.981999999999999</v>
      </c>
      <c r="H43" s="1">
        <v>13.323</v>
      </c>
      <c r="I43" s="1">
        <v>15.472</v>
      </c>
      <c r="J43" s="1">
        <v>12.893000000000001</v>
      </c>
    </row>
    <row r="44" spans="1:10" x14ac:dyDescent="0.2">
      <c r="A44" s="1" t="s">
        <v>48</v>
      </c>
      <c r="B44" s="1">
        <v>27.768999999999998</v>
      </c>
      <c r="C44" s="1">
        <v>28.856999999999999</v>
      </c>
      <c r="D44" s="1">
        <v>34.954999999999998</v>
      </c>
      <c r="E44" s="1">
        <v>41.834000000000003</v>
      </c>
      <c r="F44" s="1">
        <v>24.609000000000002</v>
      </c>
      <c r="G44" s="1">
        <v>23.125</v>
      </c>
      <c r="H44" s="1">
        <v>28.832999999999998</v>
      </c>
      <c r="I44" s="1">
        <v>30.239000000000001</v>
      </c>
      <c r="J44" s="1">
        <v>28.609000000000002</v>
      </c>
    </row>
    <row r="45" spans="1:10" x14ac:dyDescent="0.2">
      <c r="A45" s="1" t="s">
        <v>49</v>
      </c>
      <c r="B45" s="1">
        <f>162.893+4.416</f>
        <v>167.309</v>
      </c>
      <c r="C45" s="1">
        <f>166.501+3.033</f>
        <v>169.53399999999999</v>
      </c>
      <c r="D45" s="1">
        <f>175.38+4.335</f>
        <v>179.715</v>
      </c>
      <c r="E45" s="1">
        <f>204.137+4.914</f>
        <v>209.05099999999999</v>
      </c>
      <c r="F45" s="1">
        <f>197.383+4.422</f>
        <v>201.80500000000001</v>
      </c>
      <c r="G45" s="1">
        <f>192.302+4.303</f>
        <v>196.60499999999999</v>
      </c>
      <c r="H45" s="1">
        <f>192.92+3.499</f>
        <v>196.41899999999998</v>
      </c>
      <c r="I45" s="1">
        <f>223.522+4.639</f>
        <v>228.161</v>
      </c>
      <c r="J45" s="1">
        <f>219.571+4.022</f>
        <v>223.59299999999999</v>
      </c>
    </row>
    <row r="46" spans="1:10" x14ac:dyDescent="0.2">
      <c r="A46" s="1" t="s">
        <v>44</v>
      </c>
      <c r="B46" s="1">
        <f>5.741+19.415</f>
        <v>25.155999999999999</v>
      </c>
      <c r="C46" s="1">
        <f>5.838+17.928</f>
        <v>23.766000000000002</v>
      </c>
      <c r="D46" s="1">
        <f>6.438+14.155</f>
        <v>20.593</v>
      </c>
      <c r="E46" s="1">
        <f>5.904+12.704</f>
        <v>18.608000000000001</v>
      </c>
      <c r="F46" s="1">
        <f>5.892+11.226</f>
        <v>17.118000000000002</v>
      </c>
      <c r="G46" s="1">
        <f>6.021+9.944</f>
        <v>15.965</v>
      </c>
      <c r="H46" s="1">
        <f>6.088+8.391</f>
        <v>14.478999999999999</v>
      </c>
      <c r="I46" s="1">
        <f>6.18+6.809</f>
        <v>12.989000000000001</v>
      </c>
      <c r="J46" s="1">
        <f>5.498+5.979</f>
        <v>11.477</v>
      </c>
    </row>
    <row r="47" spans="1:10" x14ac:dyDescent="0.2">
      <c r="A47" s="1" t="s">
        <v>31</v>
      </c>
      <c r="B47" s="1">
        <v>281.51499999999999</v>
      </c>
      <c r="C47" s="1">
        <v>281.98399999999998</v>
      </c>
      <c r="D47" s="1">
        <v>282.44499999999999</v>
      </c>
      <c r="E47" s="1">
        <v>282.90800000000002</v>
      </c>
      <c r="F47" s="1">
        <v>283.363</v>
      </c>
      <c r="G47" s="1">
        <v>283.84100000000001</v>
      </c>
      <c r="H47" s="1">
        <v>447.38900000000001</v>
      </c>
      <c r="I47" s="1">
        <v>448.03</v>
      </c>
      <c r="J47" s="1">
        <v>448.66699999999997</v>
      </c>
    </row>
    <row r="48" spans="1:10" x14ac:dyDescent="0.2">
      <c r="A48" s="22" t="s">
        <v>64</v>
      </c>
      <c r="B48" s="1">
        <v>3.2730000000000001</v>
      </c>
      <c r="C48" s="1">
        <v>3.6709999999999998</v>
      </c>
      <c r="D48" s="1">
        <v>3.8260000000000001</v>
      </c>
      <c r="E48" s="1">
        <v>4.1840000000000002</v>
      </c>
      <c r="F48" s="1">
        <v>4.524</v>
      </c>
      <c r="G48" s="1">
        <v>4.9169999999999998</v>
      </c>
      <c r="H48" s="1">
        <v>4.9329999999999998</v>
      </c>
      <c r="I48" s="1">
        <v>5.28</v>
      </c>
      <c r="J48" s="1">
        <v>4.2089999999999996</v>
      </c>
    </row>
    <row r="49" spans="1:10" s="5" customFormat="1" x14ac:dyDescent="0.2">
      <c r="A49" s="5" t="s">
        <v>50</v>
      </c>
      <c r="B49" s="5">
        <f t="shared" ref="B49:I49" si="54">SUM(B42:B48)</f>
        <v>528.53700000000003</v>
      </c>
      <c r="C49" s="5">
        <f t="shared" si="54"/>
        <v>532.68000000000006</v>
      </c>
      <c r="D49" s="5">
        <f t="shared" si="54"/>
        <v>542.11</v>
      </c>
      <c r="E49" s="5">
        <f t="shared" si="54"/>
        <v>575.78700000000003</v>
      </c>
      <c r="F49" s="5">
        <f t="shared" si="54"/>
        <v>548.86299999999994</v>
      </c>
      <c r="G49" s="5">
        <f t="shared" si="54"/>
        <v>542.58000000000004</v>
      </c>
      <c r="H49" s="5">
        <f t="shared" si="54"/>
        <v>712.1389999999999</v>
      </c>
      <c r="I49" s="5">
        <f t="shared" si="54"/>
        <v>746.41300000000001</v>
      </c>
      <c r="J49" s="5">
        <f t="shared" ref="J49" si="55">SUM(J42:J48)</f>
        <v>736.00599999999997</v>
      </c>
    </row>
    <row r="50" spans="1:10" x14ac:dyDescent="0.2">
      <c r="A50" s="1" t="s">
        <v>52</v>
      </c>
      <c r="B50" s="1">
        <f t="shared" ref="B50:I50" si="56">+B41-B49</f>
        <v>256.15799999999979</v>
      </c>
      <c r="C50" s="1">
        <f t="shared" si="56"/>
        <v>252.08299999999986</v>
      </c>
      <c r="D50" s="1">
        <f t="shared" si="56"/>
        <v>241.89999999999975</v>
      </c>
      <c r="E50" s="1">
        <f t="shared" si="56"/>
        <v>242.08600000000001</v>
      </c>
      <c r="F50" s="1">
        <f t="shared" si="56"/>
        <v>252.96800000000019</v>
      </c>
      <c r="G50" s="1">
        <f t="shared" si="56"/>
        <v>269.31799999999998</v>
      </c>
      <c r="H50" s="1">
        <f t="shared" si="56"/>
        <v>171.29099999999994</v>
      </c>
      <c r="I50" s="1">
        <f t="shared" si="56"/>
        <v>178.89300000000014</v>
      </c>
      <c r="J50" s="1">
        <f t="shared" ref="J50" si="57">+J41-J49</f>
        <v>188.03699999999981</v>
      </c>
    </row>
    <row r="51" spans="1:10" x14ac:dyDescent="0.2">
      <c r="A51" s="1" t="s">
        <v>53</v>
      </c>
      <c r="B51" s="1">
        <f t="shared" ref="B51:I51" si="58">+B49+B50</f>
        <v>784.69499999999982</v>
      </c>
      <c r="C51" s="1">
        <f t="shared" si="58"/>
        <v>784.76299999999992</v>
      </c>
      <c r="D51" s="1">
        <f t="shared" si="58"/>
        <v>784.00999999999976</v>
      </c>
      <c r="E51" s="1">
        <f t="shared" si="58"/>
        <v>817.87300000000005</v>
      </c>
      <c r="F51" s="1">
        <f t="shared" si="58"/>
        <v>801.83100000000013</v>
      </c>
      <c r="G51" s="1">
        <f t="shared" si="58"/>
        <v>811.89800000000002</v>
      </c>
      <c r="H51" s="1">
        <f t="shared" si="58"/>
        <v>883.42999999999984</v>
      </c>
      <c r="I51" s="1">
        <f t="shared" si="58"/>
        <v>925.30600000000015</v>
      </c>
      <c r="J51" s="1">
        <f t="shared" ref="J51" si="59">+J49+J50</f>
        <v>924.04299999999978</v>
      </c>
    </row>
    <row r="53" spans="1:10" x14ac:dyDescent="0.2">
      <c r="A53" s="24" t="s">
        <v>96</v>
      </c>
      <c r="E53" s="1">
        <f t="shared" ref="E53:I53" si="60">+SUM(B17:E17)</f>
        <v>-126.455</v>
      </c>
      <c r="F53" s="1">
        <f t="shared" si="60"/>
        <v>-107.184</v>
      </c>
      <c r="G53" s="1">
        <f t="shared" si="60"/>
        <v>-90.315999999999974</v>
      </c>
      <c r="H53" s="1">
        <f t="shared" si="60"/>
        <v>-76.640999999999977</v>
      </c>
      <c r="I53" s="1">
        <f t="shared" si="60"/>
        <v>-80.740999999999985</v>
      </c>
      <c r="J53" s="1">
        <f>+SUM(G17:J17)</f>
        <v>-84.862000000000009</v>
      </c>
    </row>
    <row r="54" spans="1:10" s="26" customFormat="1" x14ac:dyDescent="0.2">
      <c r="A54" s="25" t="s">
        <v>88</v>
      </c>
      <c r="E54" s="26">
        <f t="shared" ref="E54:I54" si="61">+E53/(E33+E34+E35+E36+E37+E38+E40)</f>
        <v>-0.68420625473433616</v>
      </c>
      <c r="F54" s="26">
        <f t="shared" si="61"/>
        <v>-0.6986357621937308</v>
      </c>
      <c r="G54" s="26">
        <f t="shared" si="61"/>
        <v>-0.57545540851370203</v>
      </c>
      <c r="H54" s="26">
        <f t="shared" si="61"/>
        <v>-0.4776687774232149</v>
      </c>
      <c r="I54" s="26">
        <f t="shared" si="61"/>
        <v>-0.43857142857142856</v>
      </c>
      <c r="J54" s="26">
        <f>+J53/(J33+J34+J35+J36+J37+J38+J40)</f>
        <v>-0.51621733417684557</v>
      </c>
    </row>
    <row r="55" spans="1:10" x14ac:dyDescent="0.2">
      <c r="B55" s="10"/>
      <c r="C55" s="10"/>
      <c r="D55" s="10"/>
      <c r="F55" s="10"/>
      <c r="G55" s="10"/>
      <c r="H55" s="10"/>
    </row>
    <row r="56" spans="1:10" s="10" customFormat="1" x14ac:dyDescent="0.2">
      <c r="A56" s="10" t="s">
        <v>54</v>
      </c>
      <c r="C56" s="1">
        <v>-39</v>
      </c>
      <c r="D56" s="1">
        <v>-32</v>
      </c>
      <c r="E56" s="1">
        <v>-24</v>
      </c>
      <c r="F56" s="1">
        <v>-13</v>
      </c>
      <c r="G56" s="1">
        <v>-23</v>
      </c>
      <c r="H56" s="1">
        <v>-17</v>
      </c>
      <c r="I56" s="1">
        <v>-28</v>
      </c>
      <c r="J56" s="1">
        <f>+J17</f>
        <v>-16.959000000000017</v>
      </c>
    </row>
    <row r="57" spans="1:10" s="10" customFormat="1" x14ac:dyDescent="0.2">
      <c r="A57" s="10" t="s">
        <v>55</v>
      </c>
      <c r="C57" s="1">
        <v>-38.598999999999997</v>
      </c>
      <c r="D57" s="1">
        <v>-32.542000000000002</v>
      </c>
      <c r="E57" s="1">
        <v>-25.001999999999999</v>
      </c>
      <c r="F57" s="1">
        <v>-12.837999999999999</v>
      </c>
      <c r="G57" s="1">
        <v>-22.622</v>
      </c>
      <c r="H57" s="1">
        <v>-13.09</v>
      </c>
      <c r="I57" s="1">
        <v>-28.817</v>
      </c>
      <c r="J57" s="1">
        <v>-17.344999999999999</v>
      </c>
    </row>
    <row r="58" spans="1:10" s="10" customFormat="1" x14ac:dyDescent="0.2">
      <c r="A58" s="10" t="s">
        <v>56</v>
      </c>
      <c r="C58" s="1">
        <v>4.6890000000000001</v>
      </c>
      <c r="D58" s="1">
        <v>4.4980000000000002</v>
      </c>
      <c r="E58" s="1">
        <v>4.6509999999999998</v>
      </c>
      <c r="F58" s="1">
        <v>4.7249999999999996</v>
      </c>
      <c r="G58" s="1">
        <v>5.266</v>
      </c>
      <c r="H58" s="1">
        <v>5.0250000000000004</v>
      </c>
      <c r="I58" s="1">
        <v>5.1369999999999996</v>
      </c>
      <c r="J58" s="1">
        <v>5.2919999999999998</v>
      </c>
    </row>
    <row r="59" spans="1:10" s="10" customFormat="1" x14ac:dyDescent="0.2">
      <c r="A59" s="10" t="s">
        <v>57</v>
      </c>
      <c r="C59" s="1">
        <v>4.7910000000000004</v>
      </c>
      <c r="D59" s="1">
        <v>4.9219999999999997</v>
      </c>
      <c r="E59" s="1">
        <v>5.069</v>
      </c>
      <c r="F59" s="1">
        <v>4.99</v>
      </c>
      <c r="G59" s="1">
        <v>5.173</v>
      </c>
      <c r="H59" s="1">
        <v>5.1230000000000002</v>
      </c>
      <c r="I59" s="1">
        <v>5.282</v>
      </c>
      <c r="J59" s="1">
        <v>5.2789999999999999</v>
      </c>
    </row>
    <row r="60" spans="1:10" s="10" customFormat="1" x14ac:dyDescent="0.2">
      <c r="A60" s="10" t="s">
        <v>60</v>
      </c>
      <c r="C60" s="1">
        <v>0.46800000000000003</v>
      </c>
      <c r="D60" s="1">
        <v>0.46100000000000002</v>
      </c>
      <c r="E60" s="1">
        <v>0.46300000000000002</v>
      </c>
      <c r="F60" s="1">
        <v>0.45500000000000002</v>
      </c>
      <c r="G60" s="1">
        <v>0.47799999999999998</v>
      </c>
      <c r="H60" s="1">
        <v>0.52300000000000002</v>
      </c>
      <c r="I60" s="1">
        <v>0.622</v>
      </c>
      <c r="J60" s="1">
        <v>0.60799999999999998</v>
      </c>
    </row>
    <row r="61" spans="1:10" s="10" customFormat="1" x14ac:dyDescent="0.2">
      <c r="A61" s="10" t="s">
        <v>58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0.52300000000000002</v>
      </c>
      <c r="I61" s="1">
        <v>0.27100000000000002</v>
      </c>
      <c r="J61" s="1">
        <v>0</v>
      </c>
    </row>
    <row r="62" spans="1:10" s="10" customFormat="1" x14ac:dyDescent="0.2">
      <c r="A62" s="10" t="s">
        <v>59</v>
      </c>
      <c r="C62" s="1">
        <v>30.125</v>
      </c>
      <c r="D62" s="1">
        <v>31.443999999999999</v>
      </c>
      <c r="E62" s="1">
        <v>23.428999999999998</v>
      </c>
      <c r="F62" s="1">
        <v>27.545000000000002</v>
      </c>
      <c r="G62" s="1">
        <v>35.536999999999999</v>
      </c>
      <c r="H62" s="1">
        <v>31.827999999999999</v>
      </c>
      <c r="I62" s="1">
        <v>32.241999999999997</v>
      </c>
      <c r="J62" s="1">
        <v>32.94</v>
      </c>
    </row>
    <row r="63" spans="1:10" s="10" customFormat="1" x14ac:dyDescent="0.2">
      <c r="A63" s="10" t="s">
        <v>61</v>
      </c>
      <c r="C63" s="1">
        <v>1.157</v>
      </c>
      <c r="D63" s="1">
        <v>0.61099999999999999</v>
      </c>
      <c r="E63" s="1">
        <v>1.1599999999999999</v>
      </c>
      <c r="F63" s="1">
        <v>1.1759999999999999</v>
      </c>
      <c r="G63" s="1">
        <v>1.143</v>
      </c>
      <c r="H63" s="1">
        <v>1.1060000000000001</v>
      </c>
      <c r="I63" s="1">
        <v>1.014</v>
      </c>
      <c r="J63" s="1">
        <v>0.84599999999999997</v>
      </c>
    </row>
    <row r="64" spans="1:10" s="10" customFormat="1" x14ac:dyDescent="0.2">
      <c r="A64" s="10" t="s">
        <v>62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7.1639999999999997</v>
      </c>
      <c r="J64" s="1">
        <v>0</v>
      </c>
    </row>
    <row r="65" spans="1:10" s="10" customFormat="1" x14ac:dyDescent="0.2">
      <c r="A65" s="10" t="s">
        <v>63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</row>
    <row r="66" spans="1:10" s="10" customFormat="1" x14ac:dyDescent="0.2">
      <c r="A66" s="10" t="s">
        <v>64</v>
      </c>
      <c r="C66" s="1">
        <v>5.6000000000000001E-2</v>
      </c>
      <c r="D66" s="1">
        <v>-0.124</v>
      </c>
      <c r="E66" s="1">
        <v>0.155</v>
      </c>
      <c r="F66" s="1">
        <v>-0.85199999999999998</v>
      </c>
      <c r="G66" s="1">
        <v>0.95</v>
      </c>
      <c r="H66" s="1">
        <v>1.1060000000000001</v>
      </c>
      <c r="I66" s="1">
        <v>-0.59299999999999997</v>
      </c>
      <c r="J66" s="1">
        <v>-1.302</v>
      </c>
    </row>
    <row r="67" spans="1:10" s="10" customFormat="1" x14ac:dyDescent="0.2">
      <c r="A67" s="10" t="s">
        <v>65</v>
      </c>
      <c r="C67" s="1">
        <f>1.259-5.035+0.481-2.283+3.877+1.02+2.225-1.39</f>
        <v>0.15399999999999969</v>
      </c>
      <c r="D67" s="1">
        <f>+-5.42-5.52-1.289-0.757+0.781+5.706-0.119-1.486</f>
        <v>-8.1039999999999974</v>
      </c>
      <c r="E67" s="1">
        <f>+-19.634-6.482+0.091-0.356-0.094+6.771+29.336-1.985</f>
        <v>7.6469999999999976</v>
      </c>
      <c r="F67" s="1">
        <f>30.003-3.372-2.207-1.206-0.244-17.286-7.246-1.491</f>
        <v>-3.0490000000000017</v>
      </c>
      <c r="G67" s="1">
        <f>+-5.599-3.393+0.822+0.961+0.229-1.506-5.182-1.507</f>
        <v>-15.175000000000001</v>
      </c>
      <c r="H67" s="1">
        <f>+-5.42-5.52-1.289-0.757+0.781+5.706-0.119-1.486</f>
        <v>-8.1039999999999974</v>
      </c>
      <c r="I67" s="1">
        <f>+-29.645-6.514+2.674-0.451+3.378+1.261+30.62-1.49</f>
        <v>-0.16699999999999959</v>
      </c>
      <c r="J67" s="1">
        <f>22.716-4.805-4.813+0.268-3.435-1.667-4.423-1.512</f>
        <v>2.3290000000000028</v>
      </c>
    </row>
    <row r="68" spans="1:10" s="23" customFormat="1" x14ac:dyDescent="0.2">
      <c r="A68" s="23" t="s">
        <v>66</v>
      </c>
      <c r="C68" s="5">
        <f t="shared" ref="C68:J68" si="62">SUM(C57:C67)</f>
        <v>2.8410000000000037</v>
      </c>
      <c r="D68" s="5">
        <f t="shared" si="62"/>
        <v>1.1660000000000004</v>
      </c>
      <c r="E68" s="5">
        <f t="shared" si="62"/>
        <v>17.571999999999996</v>
      </c>
      <c r="F68" s="5">
        <f t="shared" si="62"/>
        <v>22.151999999999997</v>
      </c>
      <c r="G68" s="5">
        <f t="shared" si="62"/>
        <v>10.749999999999996</v>
      </c>
      <c r="H68" s="5">
        <f t="shared" si="62"/>
        <v>24.040000000000006</v>
      </c>
      <c r="I68" s="5">
        <f t="shared" si="62"/>
        <v>22.155000000000001</v>
      </c>
      <c r="J68" s="5">
        <f t="shared" si="62"/>
        <v>28.647000000000002</v>
      </c>
    </row>
    <row r="69" spans="1:10" s="10" customFormat="1" x14ac:dyDescent="0.2">
      <c r="C69" s="1"/>
      <c r="D69" s="1"/>
      <c r="E69" s="1"/>
      <c r="F69" s="1"/>
      <c r="G69" s="1"/>
      <c r="H69" s="1"/>
      <c r="I69" s="1"/>
      <c r="J69" s="1"/>
    </row>
    <row r="70" spans="1:10" s="23" customFormat="1" x14ac:dyDescent="0.2">
      <c r="A70" s="23" t="s">
        <v>67</v>
      </c>
      <c r="C70" s="5">
        <v>-0.86199999999999999</v>
      </c>
      <c r="D70" s="5">
        <v>-0.81499999999999995</v>
      </c>
      <c r="E70" s="5">
        <v>-0.88200000000000001</v>
      </c>
      <c r="F70" s="5">
        <v>-0.23499999999999999</v>
      </c>
      <c r="G70" s="5">
        <v>-0.71299999999999997</v>
      </c>
      <c r="H70" s="5">
        <v>-0.245</v>
      </c>
      <c r="I70" s="5">
        <v>-0.97099999999999997</v>
      </c>
      <c r="J70" s="5">
        <v>-0.45700000000000002</v>
      </c>
    </row>
    <row r="71" spans="1:10" s="10" customFormat="1" x14ac:dyDescent="0.2">
      <c r="A71" s="10" t="s">
        <v>68</v>
      </c>
      <c r="C71" s="1">
        <v>-0.96499999999999997</v>
      </c>
      <c r="D71" s="1">
        <v>-0.98799999999999999</v>
      </c>
      <c r="E71" s="1">
        <v>-1.111</v>
      </c>
      <c r="F71" s="1">
        <v>-1.0720000000000001</v>
      </c>
      <c r="G71" s="1">
        <v>-1.2989999999999999</v>
      </c>
      <c r="H71" s="1">
        <v>-1.4410000000000001</v>
      </c>
      <c r="I71" s="1">
        <v>-1.5720000000000001</v>
      </c>
      <c r="J71" s="1">
        <v>-1.0920000000000001</v>
      </c>
    </row>
    <row r="72" spans="1:10" s="10" customFormat="1" x14ac:dyDescent="0.2">
      <c r="A72" s="10" t="s">
        <v>69</v>
      </c>
      <c r="C72" s="1">
        <v>-1.845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-24.071000000000002</v>
      </c>
      <c r="J72" s="1">
        <v>-50.064999999999998</v>
      </c>
    </row>
    <row r="73" spans="1:10" s="10" customFormat="1" x14ac:dyDescent="0.2">
      <c r="A73" s="10" t="s">
        <v>70</v>
      </c>
      <c r="C73" s="1">
        <f>+-53.783+54.76</f>
        <v>0.97699999999999676</v>
      </c>
      <c r="D73" s="1">
        <f>+-59.842+54.425</f>
        <v>-5.4170000000000016</v>
      </c>
      <c r="E73" s="1">
        <f>+-56.9+53</f>
        <v>-3.8999999999999986</v>
      </c>
      <c r="F73" s="1">
        <f>+-39.085+48.955</f>
        <v>9.8699999999999974</v>
      </c>
      <c r="G73" s="1">
        <f>+-68.972+58.609-0.2</f>
        <v>-10.562999999999992</v>
      </c>
      <c r="H73" s="1">
        <f>+-43.927+56.5</f>
        <v>12.573</v>
      </c>
      <c r="I73" s="1">
        <f>+-64.986+54.2</f>
        <v>-10.786000000000001</v>
      </c>
      <c r="J73" s="1">
        <f>46.556+2.237</f>
        <v>48.792999999999999</v>
      </c>
    </row>
    <row r="74" spans="1:10" s="10" customFormat="1" x14ac:dyDescent="0.2">
      <c r="A74" s="10" t="s">
        <v>71</v>
      </c>
      <c r="C74" s="1">
        <f t="shared" ref="C74:J74" si="63">SUM(C70:C73)</f>
        <v>-2.6950000000000029</v>
      </c>
      <c r="D74" s="1">
        <f t="shared" si="63"/>
        <v>-7.2200000000000015</v>
      </c>
      <c r="E74" s="1">
        <f t="shared" si="63"/>
        <v>-5.8929999999999989</v>
      </c>
      <c r="F74" s="1">
        <f t="shared" si="63"/>
        <v>8.5629999999999971</v>
      </c>
      <c r="G74" s="1">
        <f t="shared" si="63"/>
        <v>-12.574999999999992</v>
      </c>
      <c r="H74" s="1">
        <f t="shared" si="63"/>
        <v>10.887</v>
      </c>
      <c r="I74" s="1">
        <f t="shared" si="63"/>
        <v>-37.400000000000006</v>
      </c>
      <c r="J74" s="1">
        <f t="shared" si="63"/>
        <v>-2.820999999999998</v>
      </c>
    </row>
    <row r="75" spans="1:10" s="10" customFormat="1" x14ac:dyDescent="0.2">
      <c r="C75" s="1"/>
      <c r="D75" s="1"/>
      <c r="E75" s="1"/>
      <c r="F75" s="1"/>
      <c r="G75" s="1"/>
      <c r="H75" s="1"/>
      <c r="I75" s="1"/>
      <c r="J75" s="1"/>
    </row>
    <row r="76" spans="1:10" s="10" customFormat="1" x14ac:dyDescent="0.2">
      <c r="A76" s="10" t="s">
        <v>80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391.54300000000001</v>
      </c>
      <c r="I76" s="1">
        <v>-0.71199999999999997</v>
      </c>
      <c r="J76" s="1">
        <v>0</v>
      </c>
    </row>
    <row r="77" spans="1:10" s="10" customFormat="1" x14ac:dyDescent="0.2">
      <c r="A77" s="10" t="s">
        <v>81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-55.101999999999997</v>
      </c>
      <c r="I77" s="1">
        <v>0</v>
      </c>
      <c r="J77" s="1">
        <v>0</v>
      </c>
    </row>
    <row r="78" spans="1:10" s="10" customFormat="1" x14ac:dyDescent="0.2">
      <c r="A78" s="10" t="s">
        <v>82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-223.471</v>
      </c>
      <c r="I78" s="1">
        <v>-0.20100000000000001</v>
      </c>
      <c r="J78" s="1">
        <v>0</v>
      </c>
    </row>
    <row r="79" spans="1:10" s="10" customFormat="1" x14ac:dyDescent="0.2">
      <c r="A79" s="10" t="s">
        <v>77</v>
      </c>
      <c r="C79" s="1">
        <v>1.9079999999999999</v>
      </c>
      <c r="D79" s="1">
        <v>0</v>
      </c>
      <c r="E79" s="1">
        <v>0</v>
      </c>
      <c r="F79" s="1">
        <v>0</v>
      </c>
      <c r="G79" s="1">
        <v>1.7809999999999999</v>
      </c>
      <c r="H79" s="1">
        <v>0</v>
      </c>
      <c r="I79" s="1">
        <v>0</v>
      </c>
      <c r="J79" s="1">
        <v>0</v>
      </c>
    </row>
    <row r="80" spans="1:10" s="10" customFormat="1" x14ac:dyDescent="0.2">
      <c r="A80" s="10" t="s">
        <v>79</v>
      </c>
      <c r="C80" s="1">
        <v>2.9740000000000002</v>
      </c>
      <c r="D80" s="1">
        <v>1.899</v>
      </c>
      <c r="E80" s="1">
        <v>2.0219999999999998</v>
      </c>
      <c r="F80" s="1">
        <v>4.7510000000000003</v>
      </c>
      <c r="G80" s="1">
        <v>2.6659999999999999</v>
      </c>
      <c r="H80" s="1">
        <v>0.97299999999999998</v>
      </c>
      <c r="I80" s="1">
        <v>1.4810000000000001</v>
      </c>
      <c r="J80" s="1">
        <v>0.29099999999999998</v>
      </c>
    </row>
    <row r="81" spans="1:10" s="10" customFormat="1" x14ac:dyDescent="0.2">
      <c r="A81" s="10" t="s">
        <v>72</v>
      </c>
      <c r="C81" s="1">
        <v>5.7359999999999998</v>
      </c>
      <c r="D81" s="1">
        <v>0</v>
      </c>
      <c r="E81" s="1">
        <v>4.1390000000000002</v>
      </c>
      <c r="F81" s="1">
        <v>0</v>
      </c>
      <c r="G81" s="1">
        <v>6.2919999999999998</v>
      </c>
      <c r="H81" s="1">
        <v>0</v>
      </c>
      <c r="I81" s="1">
        <v>4.0019999999999998</v>
      </c>
      <c r="J81" s="1">
        <v>0</v>
      </c>
    </row>
    <row r="82" spans="1:10" s="10" customFormat="1" x14ac:dyDescent="0.2">
      <c r="A82" s="10" t="s">
        <v>78</v>
      </c>
      <c r="C82" s="1">
        <v>-6.1529999999999996</v>
      </c>
      <c r="D82" s="1">
        <v>-9.8640000000000008</v>
      </c>
      <c r="E82" s="1">
        <v>-6.49</v>
      </c>
      <c r="F82" s="1">
        <v>-8.82</v>
      </c>
      <c r="G82" s="1">
        <v>-7.1660000000000004</v>
      </c>
      <c r="H82" s="1">
        <v>-9.7859999999999996</v>
      </c>
      <c r="I82" s="1">
        <v>-6.6280000000000001</v>
      </c>
      <c r="J82" s="1">
        <v>-6.5519999999999996</v>
      </c>
    </row>
    <row r="83" spans="1:10" s="10" customFormat="1" x14ac:dyDescent="0.2">
      <c r="A83" s="10" t="s">
        <v>83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</row>
    <row r="84" spans="1:10" s="10" customFormat="1" x14ac:dyDescent="0.2">
      <c r="A84" s="10" t="s">
        <v>73</v>
      </c>
      <c r="C84" s="1">
        <f t="shared" ref="C84:J84" si="64">SUM(C76:C83)</f>
        <v>4.464999999999999</v>
      </c>
      <c r="D84" s="1">
        <f t="shared" si="64"/>
        <v>-7.9650000000000007</v>
      </c>
      <c r="E84" s="1">
        <f t="shared" si="64"/>
        <v>-0.32900000000000063</v>
      </c>
      <c r="F84" s="1">
        <f t="shared" si="64"/>
        <v>-4.069</v>
      </c>
      <c r="G84" s="1">
        <f t="shared" si="64"/>
        <v>3.5730000000000004</v>
      </c>
      <c r="H84" s="1">
        <f t="shared" si="64"/>
        <v>104.15700000000002</v>
      </c>
      <c r="I84" s="1">
        <f t="shared" si="64"/>
        <v>-2.0579999999999998</v>
      </c>
      <c r="J84" s="1">
        <f t="shared" si="64"/>
        <v>-6.2609999999999992</v>
      </c>
    </row>
    <row r="85" spans="1:10" s="10" customFormat="1" x14ac:dyDescent="0.2">
      <c r="C85" s="1"/>
      <c r="D85" s="1"/>
      <c r="E85" s="1"/>
      <c r="F85" s="1"/>
      <c r="G85" s="1"/>
      <c r="H85" s="1"/>
      <c r="I85" s="1"/>
      <c r="J85" s="1"/>
    </row>
    <row r="86" spans="1:10" s="10" customFormat="1" x14ac:dyDescent="0.2">
      <c r="A86" s="10" t="s">
        <v>74</v>
      </c>
      <c r="C86" s="1">
        <v>-0.13900000000000001</v>
      </c>
      <c r="D86" s="1">
        <v>-0.36499999999999999</v>
      </c>
      <c r="E86" s="1">
        <v>0.33600000000000002</v>
      </c>
      <c r="F86" s="13">
        <v>0.06</v>
      </c>
      <c r="G86" s="1">
        <v>-0.214</v>
      </c>
      <c r="H86" s="1">
        <v>-0.17699999999999999</v>
      </c>
      <c r="I86" s="1">
        <v>0.05</v>
      </c>
      <c r="J86" s="1">
        <v>-0.115</v>
      </c>
    </row>
    <row r="87" spans="1:10" s="10" customFormat="1" x14ac:dyDescent="0.2">
      <c r="A87" s="10" t="s">
        <v>75</v>
      </c>
      <c r="C87" s="1">
        <f t="shared" ref="C87:J87" si="65">+C86+C84+C74+C68</f>
        <v>4.4719999999999995</v>
      </c>
      <c r="D87" s="1">
        <f t="shared" si="65"/>
        <v>-14.384</v>
      </c>
      <c r="E87" s="1">
        <f t="shared" si="65"/>
        <v>11.685999999999996</v>
      </c>
      <c r="F87" s="1">
        <f t="shared" si="65"/>
        <v>26.705999999999996</v>
      </c>
      <c r="G87" s="1">
        <f t="shared" si="65"/>
        <v>1.5340000000000042</v>
      </c>
      <c r="H87" s="1">
        <f t="shared" si="65"/>
        <v>138.90700000000004</v>
      </c>
      <c r="I87" s="1">
        <f t="shared" si="65"/>
        <v>-17.253000000000007</v>
      </c>
      <c r="J87" s="1">
        <f t="shared" si="65"/>
        <v>19.450000000000003</v>
      </c>
    </row>
    <row r="88" spans="1:10" s="10" customFormat="1" x14ac:dyDescent="0.2">
      <c r="C88" s="1"/>
      <c r="D88" s="1"/>
      <c r="E88" s="1"/>
      <c r="F88" s="1"/>
      <c r="G88" s="1"/>
      <c r="H88" s="1"/>
      <c r="I88" s="1"/>
      <c r="J88" s="1"/>
    </row>
    <row r="89" spans="1:10" s="10" customFormat="1" x14ac:dyDescent="0.2">
      <c r="A89" s="10" t="s">
        <v>76</v>
      </c>
      <c r="C89" s="1">
        <f t="shared" ref="C89:J89" si="66">+C68+C70-C62</f>
        <v>-28.145999999999997</v>
      </c>
      <c r="D89" s="1">
        <f t="shared" si="66"/>
        <v>-31.093</v>
      </c>
      <c r="E89" s="1">
        <f t="shared" si="66"/>
        <v>-6.7390000000000043</v>
      </c>
      <c r="F89" s="1">
        <f t="shared" si="66"/>
        <v>-5.6280000000000037</v>
      </c>
      <c r="G89" s="1">
        <f t="shared" si="66"/>
        <v>-25.5</v>
      </c>
      <c r="H89" s="1">
        <f t="shared" si="66"/>
        <v>-8.0329999999999941</v>
      </c>
      <c r="I89" s="1">
        <f t="shared" si="66"/>
        <v>-11.057999999999996</v>
      </c>
      <c r="J89" s="1">
        <f t="shared" si="66"/>
        <v>-4.7499999999999964</v>
      </c>
    </row>
    <row r="91" spans="1:10" x14ac:dyDescent="0.2">
      <c r="A91" s="24" t="s">
        <v>97</v>
      </c>
      <c r="F91" s="1">
        <f t="shared" ref="F91:I91" si="67">+SUM(C89:F89)</f>
        <v>-71.606000000000009</v>
      </c>
      <c r="G91" s="1">
        <f t="shared" si="67"/>
        <v>-68.960000000000008</v>
      </c>
      <c r="H91" s="1">
        <f t="shared" si="67"/>
        <v>-45.9</v>
      </c>
      <c r="I91" s="1">
        <f t="shared" si="67"/>
        <v>-50.218999999999994</v>
      </c>
      <c r="J91" s="1">
        <f>+SUM(G89:J89)</f>
        <v>-49.340999999999994</v>
      </c>
    </row>
  </sheetData>
  <pageMargins left="0.7" right="0.7" top="0.75" bottom="0.75" header="0.3" footer="0.3"/>
  <ignoredErrors>
    <ignoredError sqref="E10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Dennis Hesselberth</cp:lastModifiedBy>
  <dcterms:created xsi:type="dcterms:W3CDTF">2024-02-26T13:57:59Z</dcterms:created>
  <dcterms:modified xsi:type="dcterms:W3CDTF">2024-07-11T17:53:00Z</dcterms:modified>
</cp:coreProperties>
</file>