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F2DD1CC9-CC5A-4422-A387-F99AF8E7A3F2}" xr6:coauthVersionLast="47" xr6:coauthVersionMax="47" xr10:uidLastSave="{00000000-0000-0000-0000-000000000000}"/>
  <bookViews>
    <workbookView xWindow="-120" yWindow="-120" windowWidth="29040" windowHeight="15840" activeTab="1" xr2:uid="{FB269BEC-80D9-4836-9614-5349DC7AFD6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E36" i="2" l="1"/>
  <c r="EQ31" i="2"/>
  <c r="ER31" i="2" s="1"/>
  <c r="ES31" i="2" s="1"/>
  <c r="ET31" i="2" s="1"/>
  <c r="EU31" i="2" s="1"/>
  <c r="EV31" i="2" s="1"/>
  <c r="EW31" i="2" s="1"/>
  <c r="EX31" i="2" s="1"/>
  <c r="BB28" i="2"/>
  <c r="BA28" i="2"/>
  <c r="AZ28" i="2"/>
  <c r="AY28" i="2"/>
  <c r="AY25" i="2"/>
  <c r="AZ25" i="2" s="1"/>
  <c r="BA25" i="2" s="1"/>
  <c r="BB25" i="2" s="1"/>
  <c r="AY24" i="2"/>
  <c r="AZ24" i="2" s="1"/>
  <c r="BA24" i="2" s="1"/>
  <c r="BB24" i="2" s="1"/>
  <c r="AY23" i="2"/>
  <c r="AZ23" i="2" s="1"/>
  <c r="AY21" i="2"/>
  <c r="AZ21" i="2" s="1"/>
  <c r="BA21" i="2" s="1"/>
  <c r="BB21" i="2" s="1"/>
  <c r="AY20" i="2"/>
  <c r="AZ20" i="2" s="1"/>
  <c r="AY9" i="2"/>
  <c r="AZ9" i="2" s="1"/>
  <c r="BA9" i="2" s="1"/>
  <c r="BB9" i="2" s="1"/>
  <c r="AY8" i="2"/>
  <c r="AZ8" i="2" s="1"/>
  <c r="BA8" i="2" s="1"/>
  <c r="BB8" i="2" s="1"/>
  <c r="AY7" i="2"/>
  <c r="AZ7" i="2" s="1"/>
  <c r="BA7" i="2" s="1"/>
  <c r="BB7" i="2" s="1"/>
  <c r="AY6" i="2"/>
  <c r="AZ6" i="2" s="1"/>
  <c r="BA6" i="2" s="1"/>
  <c r="BB6" i="2" s="1"/>
  <c r="AY5" i="2"/>
  <c r="AZ5" i="2" s="1"/>
  <c r="BA5" i="2" s="1"/>
  <c r="BB5" i="2" s="1"/>
  <c r="AY4" i="2"/>
  <c r="AZ4" i="2" s="1"/>
  <c r="BA4" i="2" s="1"/>
  <c r="BB4" i="2" s="1"/>
  <c r="AY3" i="2"/>
  <c r="AZ3" i="2" s="1"/>
  <c r="BA3" i="2" s="1"/>
  <c r="BB3" i="2" s="1"/>
  <c r="AT9" i="2"/>
  <c r="AU9" i="2" s="1"/>
  <c r="AV9" i="2" s="1"/>
  <c r="AW9" i="2" s="1"/>
  <c r="AX9" i="2" s="1"/>
  <c r="AT8" i="2"/>
  <c r="AU8" i="2" s="1"/>
  <c r="AV8" i="2" s="1"/>
  <c r="AW8" i="2" s="1"/>
  <c r="AX8" i="2" s="1"/>
  <c r="AT7" i="2"/>
  <c r="AU7" i="2" s="1"/>
  <c r="AV7" i="2" s="1"/>
  <c r="AW7" i="2" s="1"/>
  <c r="AX7" i="2" s="1"/>
  <c r="AU6" i="2"/>
  <c r="AV6" i="2" s="1"/>
  <c r="AW6" i="2" s="1"/>
  <c r="AX6" i="2" s="1"/>
  <c r="AT6" i="2"/>
  <c r="AT5" i="2"/>
  <c r="AU5" i="2" s="1"/>
  <c r="AV5" i="2" s="1"/>
  <c r="AW5" i="2" s="1"/>
  <c r="AX5" i="2" s="1"/>
  <c r="AT4" i="2"/>
  <c r="AU4" i="2" s="1"/>
  <c r="AV4" i="2" s="1"/>
  <c r="AW4" i="2" s="1"/>
  <c r="AX4" i="2" s="1"/>
  <c r="AX28" i="2"/>
  <c r="AW28" i="2"/>
  <c r="AV28" i="2"/>
  <c r="AU28" i="2"/>
  <c r="AT28" i="2"/>
  <c r="AU25" i="2"/>
  <c r="AV25" i="2" s="1"/>
  <c r="AW25" i="2" s="1"/>
  <c r="AX25" i="2" s="1"/>
  <c r="AT25" i="2"/>
  <c r="AT24" i="2"/>
  <c r="AU24" i="2" s="1"/>
  <c r="AV24" i="2" s="1"/>
  <c r="AW24" i="2" s="1"/>
  <c r="AX24" i="2" s="1"/>
  <c r="AT23" i="2"/>
  <c r="AT26" i="2" s="1"/>
  <c r="AU21" i="2"/>
  <c r="AV21" i="2" s="1"/>
  <c r="AW21" i="2" s="1"/>
  <c r="AX21" i="2" s="1"/>
  <c r="AT21" i="2"/>
  <c r="AT20" i="2"/>
  <c r="AT22" i="2" s="1"/>
  <c r="AT27" i="2" s="1"/>
  <c r="AT29" i="2" s="1"/>
  <c r="AU3" i="2"/>
  <c r="AV3" i="2" s="1"/>
  <c r="AW3" i="2" s="1"/>
  <c r="AX3" i="2" s="1"/>
  <c r="AT3" i="2"/>
  <c r="AE20" i="2"/>
  <c r="AF20" i="2" s="1"/>
  <c r="AG20" i="2" s="1"/>
  <c r="AH20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D20" i="2"/>
  <c r="AE9" i="2"/>
  <c r="AF9" i="2" s="1"/>
  <c r="AG9" i="2" s="1"/>
  <c r="AH9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E8" i="2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AE7" i="2"/>
  <c r="AF7" i="2" s="1"/>
  <c r="AG7" i="2" s="1"/>
  <c r="AH7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E6" i="2"/>
  <c r="AF6" i="2" s="1"/>
  <c r="AG6" i="2" s="1"/>
  <c r="AH6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E5" i="2"/>
  <c r="AF5" i="2" s="1"/>
  <c r="AG5" i="2" s="1"/>
  <c r="AH5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D9" i="2"/>
  <c r="AD8" i="2"/>
  <c r="AD7" i="2"/>
  <c r="AD6" i="2"/>
  <c r="AD5" i="2"/>
  <c r="AE4" i="2"/>
  <c r="AF4" i="2" s="1"/>
  <c r="AG4" i="2" s="1"/>
  <c r="AH4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D4" i="2"/>
  <c r="R4" i="2"/>
  <c r="R9" i="2"/>
  <c r="R8" i="2"/>
  <c r="R7" i="2"/>
  <c r="R6" i="2"/>
  <c r="R5" i="2"/>
  <c r="S9" i="2"/>
  <c r="T9" i="2"/>
  <c r="U9" i="2"/>
  <c r="V9" i="2"/>
  <c r="W9" i="2"/>
  <c r="X9" i="2"/>
  <c r="Y9" i="2"/>
  <c r="Z9" i="2"/>
  <c r="AD25" i="2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D24" i="2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D23" i="2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D21" i="2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BA23" i="2" l="1"/>
  <c r="AZ26" i="2"/>
  <c r="BA20" i="2"/>
  <c r="AZ22" i="2"/>
  <c r="AZ27" i="2" s="1"/>
  <c r="AZ29" i="2" s="1"/>
  <c r="AY26" i="2"/>
  <c r="AY22" i="2"/>
  <c r="AY27" i="2" s="1"/>
  <c r="AY29" i="2" s="1"/>
  <c r="AT30" i="2"/>
  <c r="AT31" i="2" s="1"/>
  <c r="AU20" i="2"/>
  <c r="AU23" i="2"/>
  <c r="C28" i="2"/>
  <c r="C26" i="2"/>
  <c r="C22" i="2"/>
  <c r="C35" i="2" s="1"/>
  <c r="E13" i="2"/>
  <c r="E14" i="2"/>
  <c r="E12" i="2"/>
  <c r="E11" i="2"/>
  <c r="E19" i="2"/>
  <c r="E18" i="2"/>
  <c r="E17" i="2"/>
  <c r="E16" i="2"/>
  <c r="B28" i="2"/>
  <c r="B26" i="2"/>
  <c r="B22" i="2"/>
  <c r="F28" i="2"/>
  <c r="F26" i="2"/>
  <c r="F22" i="2"/>
  <c r="F35" i="2" s="1"/>
  <c r="D28" i="2"/>
  <c r="D26" i="2"/>
  <c r="D22" i="2"/>
  <c r="D35" i="2" s="1"/>
  <c r="F40" i="2"/>
  <c r="G40" i="2"/>
  <c r="H40" i="2"/>
  <c r="H28" i="2"/>
  <c r="H26" i="2"/>
  <c r="H22" i="2"/>
  <c r="H35" i="2" s="1"/>
  <c r="L4" i="1"/>
  <c r="AY31" i="2" l="1"/>
  <c r="AY30" i="2"/>
  <c r="BA26" i="2"/>
  <c r="BB23" i="2"/>
  <c r="BB26" i="2" s="1"/>
  <c r="BB20" i="2"/>
  <c r="BB22" i="2" s="1"/>
  <c r="BB27" i="2" s="1"/>
  <c r="BB29" i="2" s="1"/>
  <c r="BA22" i="2"/>
  <c r="BA27" i="2" s="1"/>
  <c r="BA29" i="2" s="1"/>
  <c r="AZ30" i="2"/>
  <c r="AZ31" i="2" s="1"/>
  <c r="AU26" i="2"/>
  <c r="AV23" i="2"/>
  <c r="AU22" i="2"/>
  <c r="AU27" i="2" s="1"/>
  <c r="AU29" i="2" s="1"/>
  <c r="AV20" i="2"/>
  <c r="C27" i="2"/>
  <c r="B27" i="2"/>
  <c r="B36" i="2" s="1"/>
  <c r="B35" i="2"/>
  <c r="F27" i="2"/>
  <c r="D27" i="2"/>
  <c r="H27" i="2"/>
  <c r="BB30" i="2" l="1"/>
  <c r="BB31" i="2" s="1"/>
  <c r="BA30" i="2"/>
  <c r="BA31" i="2" s="1"/>
  <c r="AU30" i="2"/>
  <c r="AU31" i="2"/>
  <c r="AW20" i="2"/>
  <c r="AV22" i="2"/>
  <c r="AV26" i="2"/>
  <c r="AW23" i="2"/>
  <c r="H29" i="2"/>
  <c r="H31" i="2" s="1"/>
  <c r="H32" i="2" s="1"/>
  <c r="H36" i="2"/>
  <c r="B29" i="2"/>
  <c r="B31" i="2" s="1"/>
  <c r="C36" i="2"/>
  <c r="C29" i="2"/>
  <c r="C31" i="2" s="1"/>
  <c r="B37" i="2"/>
  <c r="B32" i="2"/>
  <c r="F36" i="2"/>
  <c r="F29" i="2"/>
  <c r="F31" i="2" s="1"/>
  <c r="D36" i="2"/>
  <c r="D29" i="2"/>
  <c r="D31" i="2" s="1"/>
  <c r="AW26" i="2" l="1"/>
  <c r="AX23" i="2"/>
  <c r="AX26" i="2" s="1"/>
  <c r="AV27" i="2"/>
  <c r="AV29" i="2" s="1"/>
  <c r="AX20" i="2"/>
  <c r="AX22" i="2" s="1"/>
  <c r="AX27" i="2" s="1"/>
  <c r="AX29" i="2" s="1"/>
  <c r="AW22" i="2"/>
  <c r="AW27" i="2" s="1"/>
  <c r="AW29" i="2" s="1"/>
  <c r="H37" i="2"/>
  <c r="C37" i="2"/>
  <c r="C32" i="2"/>
  <c r="F37" i="2"/>
  <c r="F32" i="2"/>
  <c r="D37" i="2"/>
  <c r="D32" i="2"/>
  <c r="AW31" i="2" l="1"/>
  <c r="AW30" i="2"/>
  <c r="AV30" i="2"/>
  <c r="AV31" i="2" s="1"/>
  <c r="AX30" i="2"/>
  <c r="AX31" i="2" s="1"/>
  <c r="M101" i="2"/>
  <c r="O99" i="2"/>
  <c r="O116" i="2" s="1"/>
  <c r="M98" i="2"/>
  <c r="L42" i="2"/>
  <c r="N42" i="2"/>
  <c r="J116" i="2"/>
  <c r="L116" i="2"/>
  <c r="P116" i="2"/>
  <c r="P42" i="2"/>
  <c r="AC42" i="2" s="1"/>
  <c r="AD28" i="2" s="1"/>
  <c r="T25" i="2"/>
  <c r="R25" i="2" s="1"/>
  <c r="U25" i="2"/>
  <c r="U26" i="2" s="1"/>
  <c r="V25" i="2"/>
  <c r="V26" i="2" s="1"/>
  <c r="R17" i="2"/>
  <c r="R19" i="2"/>
  <c r="R24" i="2"/>
  <c r="R23" i="2"/>
  <c r="R21" i="2"/>
  <c r="T20" i="2"/>
  <c r="T22" i="2" s="1"/>
  <c r="U20" i="2"/>
  <c r="U22" i="2" s="1"/>
  <c r="U35" i="2" s="1"/>
  <c r="V20" i="2"/>
  <c r="R16" i="2"/>
  <c r="R18" i="2"/>
  <c r="T28" i="2"/>
  <c r="U28" i="2"/>
  <c r="V28" i="2"/>
  <c r="T26" i="2" l="1"/>
  <c r="T27" i="2" s="1"/>
  <c r="T29" i="2" s="1"/>
  <c r="R20" i="2"/>
  <c r="T40" i="2"/>
  <c r="AD26" i="2"/>
  <c r="U40" i="2"/>
  <c r="V40" i="2"/>
  <c r="V22" i="2"/>
  <c r="V35" i="2" s="1"/>
  <c r="T35" i="2"/>
  <c r="U27" i="2"/>
  <c r="U36" i="2" s="1"/>
  <c r="V27" i="2" l="1"/>
  <c r="V29" i="2" s="1"/>
  <c r="T36" i="2"/>
  <c r="T38" i="2"/>
  <c r="T31" i="2"/>
  <c r="U29" i="2"/>
  <c r="U38" i="2" s="1"/>
  <c r="AE26" i="2"/>
  <c r="V36" i="2" l="1"/>
  <c r="T37" i="2"/>
  <c r="T32" i="2"/>
  <c r="U31" i="2"/>
  <c r="U37" i="2" s="1"/>
  <c r="V38" i="2"/>
  <c r="V31" i="2"/>
  <c r="AF26" i="2"/>
  <c r="U32" i="2" l="1"/>
  <c r="V37" i="2"/>
  <c r="V32" i="2"/>
  <c r="AG26" i="2"/>
  <c r="AH26" i="2" l="1"/>
  <c r="AI26" i="2" l="1"/>
  <c r="AJ26" i="2" l="1"/>
  <c r="AK26" i="2" l="1"/>
  <c r="AL26" i="2" l="1"/>
  <c r="AM26" i="2" l="1"/>
  <c r="AN26" i="2" l="1"/>
  <c r="AO26" i="2" l="1"/>
  <c r="AP26" i="2" l="1"/>
  <c r="AQ26" i="2" l="1"/>
  <c r="AS26" i="2" l="1"/>
  <c r="AR26" i="2"/>
  <c r="Z116" i="2" l="1"/>
  <c r="Y116" i="2"/>
  <c r="X116" i="2"/>
  <c r="W116" i="2"/>
  <c r="W28" i="2"/>
  <c r="W40" i="2"/>
  <c r="W26" i="2"/>
  <c r="W22" i="2"/>
  <c r="X28" i="2"/>
  <c r="X40" i="2"/>
  <c r="X26" i="2"/>
  <c r="X22" i="2"/>
  <c r="X35" i="2" s="1"/>
  <c r="Y28" i="2"/>
  <c r="Y40" i="2"/>
  <c r="Y26" i="2"/>
  <c r="Y22" i="2"/>
  <c r="Y35" i="2" s="1"/>
  <c r="Z28" i="2"/>
  <c r="Z40" i="2"/>
  <c r="Z26" i="2"/>
  <c r="Z22" i="2"/>
  <c r="Z35" i="2" s="1"/>
  <c r="AA116" i="2"/>
  <c r="AB116" i="2"/>
  <c r="AC116" i="2"/>
  <c r="AA28" i="2"/>
  <c r="AA40" i="2"/>
  <c r="AA26" i="2"/>
  <c r="AA22" i="2"/>
  <c r="AA35" i="2" s="1"/>
  <c r="AB28" i="2"/>
  <c r="AB40" i="2"/>
  <c r="AB26" i="2"/>
  <c r="AB22" i="2"/>
  <c r="AC40" i="2"/>
  <c r="AC28" i="2"/>
  <c r="AC26" i="2"/>
  <c r="AC22" i="2"/>
  <c r="AC35" i="2" s="1"/>
  <c r="AA9" i="2"/>
  <c r="N116" i="2"/>
  <c r="K44" i="2"/>
  <c r="K56" i="2" s="1"/>
  <c r="K70" i="2"/>
  <c r="K72" i="2" s="1"/>
  <c r="K42" i="2"/>
  <c r="I44" i="2"/>
  <c r="I56" i="2" s="1"/>
  <c r="I70" i="2"/>
  <c r="I72" i="2" s="1"/>
  <c r="I42" i="2"/>
  <c r="M44" i="2"/>
  <c r="M56" i="2" s="1"/>
  <c r="M70" i="2"/>
  <c r="M72" i="2" s="1"/>
  <c r="G99" i="2"/>
  <c r="I86" i="2"/>
  <c r="I28" i="2"/>
  <c r="I26" i="2"/>
  <c r="I22" i="2"/>
  <c r="I35" i="2" s="1"/>
  <c r="G28" i="2"/>
  <c r="G26" i="2"/>
  <c r="G22" i="2"/>
  <c r="G35" i="2" s="1"/>
  <c r="I98" i="2"/>
  <c r="I97" i="2"/>
  <c r="I96" i="2"/>
  <c r="I95" i="2"/>
  <c r="I94" i="2"/>
  <c r="I93" i="2"/>
  <c r="I92" i="2"/>
  <c r="I91" i="2"/>
  <c r="I90" i="2"/>
  <c r="I89" i="2"/>
  <c r="I88" i="2"/>
  <c r="I87" i="2"/>
  <c r="I85" i="2"/>
  <c r="I84" i="2"/>
  <c r="I83" i="2"/>
  <c r="I82" i="2"/>
  <c r="I81" i="2"/>
  <c r="I80" i="2"/>
  <c r="I79" i="2"/>
  <c r="I7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K99" i="2"/>
  <c r="E28" i="2"/>
  <c r="I40" i="2"/>
  <c r="E26" i="2"/>
  <c r="E22" i="2"/>
  <c r="E35" i="2" s="1"/>
  <c r="M28" i="2"/>
  <c r="M40" i="2"/>
  <c r="M26" i="2"/>
  <c r="M22" i="2"/>
  <c r="J28" i="2"/>
  <c r="J40" i="2"/>
  <c r="J26" i="2"/>
  <c r="J22" i="2"/>
  <c r="J35" i="2" s="1"/>
  <c r="N28" i="2"/>
  <c r="N40" i="2"/>
  <c r="N26" i="2"/>
  <c r="N22" i="2"/>
  <c r="N35" i="2" s="1"/>
  <c r="O63" i="2"/>
  <c r="O59" i="2"/>
  <c r="O58" i="2"/>
  <c r="O57" i="2"/>
  <c r="O42" i="2" s="1"/>
  <c r="O44" i="2"/>
  <c r="O56" i="2" s="1"/>
  <c r="D34" i="1"/>
  <c r="E33" i="1" s="1"/>
  <c r="L28" i="2"/>
  <c r="L40" i="2"/>
  <c r="L26" i="2"/>
  <c r="L22" i="2"/>
  <c r="L35" i="2" s="1"/>
  <c r="P28" i="2"/>
  <c r="P40" i="2"/>
  <c r="P26" i="2"/>
  <c r="P22" i="2"/>
  <c r="K28" i="2"/>
  <c r="K40" i="2"/>
  <c r="K26" i="2"/>
  <c r="K22" i="2"/>
  <c r="K35" i="2" s="1"/>
  <c r="O40" i="2"/>
  <c r="O28" i="2"/>
  <c r="O26" i="2"/>
  <c r="O22" i="2"/>
  <c r="O35" i="2" s="1"/>
  <c r="L5" i="1"/>
  <c r="L8" i="1" s="1"/>
  <c r="L11" i="1" s="1"/>
  <c r="U3" i="2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K116" i="2" l="1"/>
  <c r="M99" i="2"/>
  <c r="M116" i="2" s="1"/>
  <c r="AD22" i="2"/>
  <c r="AD40" i="2"/>
  <c r="E31" i="1"/>
  <c r="E30" i="1"/>
  <c r="E32" i="1"/>
  <c r="AE40" i="2"/>
  <c r="W27" i="2"/>
  <c r="W36" i="2" s="1"/>
  <c r="W35" i="2"/>
  <c r="X27" i="2"/>
  <c r="Y27" i="2"/>
  <c r="Y29" i="2" s="1"/>
  <c r="Z27" i="2"/>
  <c r="Z36" i="2" s="1"/>
  <c r="AA27" i="2"/>
  <c r="AA36" i="2" s="1"/>
  <c r="AB27" i="2"/>
  <c r="AB36" i="2" s="1"/>
  <c r="AB35" i="2"/>
  <c r="AC27" i="2"/>
  <c r="O70" i="2"/>
  <c r="O72" i="2" s="1"/>
  <c r="M42" i="2"/>
  <c r="I99" i="2"/>
  <c r="I27" i="2"/>
  <c r="G27" i="2"/>
  <c r="G36" i="2" s="1"/>
  <c r="N27" i="2"/>
  <c r="N36" i="2" s="1"/>
  <c r="E27" i="2"/>
  <c r="E36" i="2" s="1"/>
  <c r="M27" i="2"/>
  <c r="M36" i="2" s="1"/>
  <c r="M35" i="2"/>
  <c r="J27" i="2"/>
  <c r="J36" i="2" s="1"/>
  <c r="O27" i="2"/>
  <c r="L27" i="2"/>
  <c r="P27" i="2"/>
  <c r="P36" i="2" s="1"/>
  <c r="P35" i="2"/>
  <c r="K27" i="2"/>
  <c r="AA29" i="2" l="1"/>
  <c r="I29" i="2"/>
  <c r="I31" i="2" s="1"/>
  <c r="I36" i="2"/>
  <c r="AD27" i="2"/>
  <c r="AD35" i="2"/>
  <c r="P117" i="2"/>
  <c r="O117" i="2"/>
  <c r="M117" i="2"/>
  <c r="N117" i="2"/>
  <c r="Z29" i="2"/>
  <c r="Z38" i="2" s="1"/>
  <c r="AE22" i="2"/>
  <c r="AF22" i="2"/>
  <c r="W29" i="2"/>
  <c r="W38" i="2" s="1"/>
  <c r="X36" i="2"/>
  <c r="X29" i="2"/>
  <c r="Y36" i="2"/>
  <c r="Y31" i="2"/>
  <c r="Y38" i="2"/>
  <c r="AA38" i="2"/>
  <c r="AA31" i="2"/>
  <c r="AB29" i="2"/>
  <c r="AB38" i="2" s="1"/>
  <c r="AC36" i="2"/>
  <c r="AC29" i="2"/>
  <c r="G29" i="2"/>
  <c r="G31" i="2" s="1"/>
  <c r="N29" i="2"/>
  <c r="N31" i="2" s="1"/>
  <c r="N37" i="2" s="1"/>
  <c r="E29" i="2"/>
  <c r="E31" i="2" s="1"/>
  <c r="M29" i="2"/>
  <c r="M31" i="2" s="1"/>
  <c r="J29" i="2"/>
  <c r="J31" i="2" s="1"/>
  <c r="O36" i="2"/>
  <c r="O29" i="2"/>
  <c r="O31" i="2" s="1"/>
  <c r="O77" i="2" s="1"/>
  <c r="L29" i="2"/>
  <c r="L36" i="2"/>
  <c r="P29" i="2"/>
  <c r="K36" i="2"/>
  <c r="K29" i="2"/>
  <c r="G77" i="2" l="1"/>
  <c r="G37" i="2"/>
  <c r="I74" i="2"/>
  <c r="I75" i="2" s="1"/>
  <c r="J74" i="2"/>
  <c r="J37" i="2"/>
  <c r="H74" i="2"/>
  <c r="E37" i="2"/>
  <c r="G74" i="2"/>
  <c r="F74" i="2"/>
  <c r="I32" i="2"/>
  <c r="I37" i="2"/>
  <c r="AF27" i="2"/>
  <c r="AF35" i="2"/>
  <c r="AE27" i="2"/>
  <c r="AE35" i="2"/>
  <c r="AF40" i="2"/>
  <c r="Z31" i="2"/>
  <c r="Z32" i="2" s="1"/>
  <c r="AD29" i="2"/>
  <c r="AD30" i="2" s="1"/>
  <c r="AD36" i="2"/>
  <c r="AG22" i="2"/>
  <c r="W31" i="2"/>
  <c r="W37" i="2" s="1"/>
  <c r="X38" i="2"/>
  <c r="X31" i="2"/>
  <c r="Y37" i="2"/>
  <c r="Y32" i="2"/>
  <c r="AA37" i="2"/>
  <c r="AA32" i="2"/>
  <c r="AB31" i="2"/>
  <c r="AB32" i="2" s="1"/>
  <c r="AC38" i="2"/>
  <c r="AC31" i="2"/>
  <c r="G32" i="2"/>
  <c r="N32" i="2"/>
  <c r="L31" i="2"/>
  <c r="L38" i="2"/>
  <c r="K31" i="2"/>
  <c r="K38" i="2"/>
  <c r="P31" i="2"/>
  <c r="P37" i="2" s="1"/>
  <c r="P38" i="2"/>
  <c r="I77" i="2"/>
  <c r="E32" i="2"/>
  <c r="M37" i="2"/>
  <c r="M77" i="2"/>
  <c r="M32" i="2"/>
  <c r="J32" i="2"/>
  <c r="O37" i="2"/>
  <c r="O32" i="2"/>
  <c r="M74" i="2" l="1"/>
  <c r="M75" i="2" s="1"/>
  <c r="AB37" i="2"/>
  <c r="P74" i="2"/>
  <c r="K77" i="2"/>
  <c r="N74" i="2"/>
  <c r="L37" i="2"/>
  <c r="O74" i="2"/>
  <c r="O75" i="2" s="1"/>
  <c r="K74" i="2"/>
  <c r="K75" i="2" s="1"/>
  <c r="L74" i="2"/>
  <c r="AG27" i="2"/>
  <c r="AG36" i="2" s="1"/>
  <c r="AG35" i="2"/>
  <c r="Z37" i="2"/>
  <c r="AE36" i="2"/>
  <c r="AD38" i="2"/>
  <c r="AG40" i="2"/>
  <c r="AF36" i="2"/>
  <c r="AH22" i="2"/>
  <c r="W32" i="2"/>
  <c r="X32" i="2"/>
  <c r="X37" i="2"/>
  <c r="AC37" i="2"/>
  <c r="AC32" i="2"/>
  <c r="P32" i="2"/>
  <c r="K32" i="2"/>
  <c r="K37" i="2"/>
  <c r="L32" i="2"/>
  <c r="AD31" i="2" l="1"/>
  <c r="AH27" i="2"/>
  <c r="AH36" i="2" s="1"/>
  <c r="AH35" i="2"/>
  <c r="AI22" i="2"/>
  <c r="AH40" i="2"/>
  <c r="AD42" i="2" l="1"/>
  <c r="AE28" i="2" s="1"/>
  <c r="AE29" i="2" s="1"/>
  <c r="AE30" i="2" s="1"/>
  <c r="AD37" i="2"/>
  <c r="AJ22" i="2"/>
  <c r="AI40" i="2"/>
  <c r="AI27" i="2"/>
  <c r="AI36" i="2" s="1"/>
  <c r="AI35" i="2"/>
  <c r="AJ27" i="2" l="1"/>
  <c r="AJ36" i="2" s="1"/>
  <c r="AJ35" i="2"/>
  <c r="AE38" i="2"/>
  <c r="AJ40" i="2"/>
  <c r="AK22" i="2"/>
  <c r="AK27" i="2" l="1"/>
  <c r="AK36" i="2" s="1"/>
  <c r="AK35" i="2"/>
  <c r="AK40" i="2"/>
  <c r="AE31" i="2"/>
  <c r="AL22" i="2"/>
  <c r="AE42" i="2" l="1"/>
  <c r="AL27" i="2"/>
  <c r="AL36" i="2" s="1"/>
  <c r="AL35" i="2"/>
  <c r="AE37" i="2"/>
  <c r="AF28" i="2"/>
  <c r="AF29" i="2" s="1"/>
  <c r="AF30" i="2" s="1"/>
  <c r="AL40" i="2"/>
  <c r="AM22" i="2"/>
  <c r="AM27" i="2" l="1"/>
  <c r="AM36" i="2" s="1"/>
  <c r="AM35" i="2"/>
  <c r="AF38" i="2"/>
  <c r="AN22" i="2"/>
  <c r="AM40" i="2"/>
  <c r="AF31" i="2" l="1"/>
  <c r="AN27" i="2"/>
  <c r="AN36" i="2" s="1"/>
  <c r="AN35" i="2"/>
  <c r="AN40" i="2"/>
  <c r="AO22" i="2"/>
  <c r="AF42" i="2" l="1"/>
  <c r="AF37" i="2"/>
  <c r="AO27" i="2"/>
  <c r="AO36" i="2" s="1"/>
  <c r="AO35" i="2"/>
  <c r="AO40" i="2"/>
  <c r="AP22" i="2"/>
  <c r="AG28" i="2" l="1"/>
  <c r="AG29" i="2" s="1"/>
  <c r="AP27" i="2"/>
  <c r="AP36" i="2" s="1"/>
  <c r="AP35" i="2"/>
  <c r="AP40" i="2"/>
  <c r="AQ22" i="2"/>
  <c r="AG30" i="2" l="1"/>
  <c r="AG38" i="2" s="1"/>
  <c r="AQ27" i="2"/>
  <c r="AQ36" i="2" s="1"/>
  <c r="AQ35" i="2"/>
  <c r="AR22" i="2"/>
  <c r="AQ40" i="2"/>
  <c r="AG31" i="2" l="1"/>
  <c r="AR27" i="2"/>
  <c r="AR36" i="2" s="1"/>
  <c r="AR35" i="2"/>
  <c r="AR40" i="2"/>
  <c r="AG42" i="2" l="1"/>
  <c r="AH28" i="2" s="1"/>
  <c r="AH29" i="2" s="1"/>
  <c r="AH30" i="2" s="1"/>
  <c r="AH38" i="2" s="1"/>
  <c r="AG37" i="2"/>
  <c r="AS40" i="2"/>
  <c r="AS22" i="2"/>
  <c r="AH31" i="2" l="1"/>
  <c r="AS27" i="2"/>
  <c r="AS36" i="2" s="1"/>
  <c r="AS35" i="2"/>
  <c r="AH42" i="2" l="1"/>
  <c r="AI28" i="2" s="1"/>
  <c r="AI29" i="2" s="1"/>
  <c r="AI30" i="2" s="1"/>
  <c r="AH37" i="2"/>
  <c r="AI38" i="2"/>
  <c r="AI31" i="2" l="1"/>
  <c r="AI42" i="2" s="1"/>
  <c r="AI37" i="2" l="1"/>
  <c r="AJ28" i="2"/>
  <c r="AJ29" i="2" s="1"/>
  <c r="AJ30" i="2" s="1"/>
  <c r="AJ38" i="2" l="1"/>
  <c r="AJ31" i="2" l="1"/>
  <c r="AJ42" i="2" s="1"/>
  <c r="AJ37" i="2" l="1"/>
  <c r="AK28" i="2"/>
  <c r="AK29" i="2" s="1"/>
  <c r="AK30" i="2" s="1"/>
  <c r="AK38" i="2" l="1"/>
  <c r="AK31" i="2" l="1"/>
  <c r="AK42" i="2" s="1"/>
  <c r="AK37" i="2" l="1"/>
  <c r="AL28" i="2"/>
  <c r="AL29" i="2" s="1"/>
  <c r="AL30" i="2" s="1"/>
  <c r="AL38" i="2" l="1"/>
  <c r="AL31" i="2" l="1"/>
  <c r="AL42" i="2" s="1"/>
  <c r="AL37" i="2" l="1"/>
  <c r="AM28" i="2"/>
  <c r="AM29" i="2" s="1"/>
  <c r="AM30" i="2" s="1"/>
  <c r="AM38" i="2" l="1"/>
  <c r="AM31" i="2" l="1"/>
  <c r="AM42" i="2" s="1"/>
  <c r="AM37" i="2" l="1"/>
  <c r="AN28" i="2"/>
  <c r="AN29" i="2" s="1"/>
  <c r="AN30" i="2" s="1"/>
  <c r="AN38" i="2" l="1"/>
  <c r="AN31" i="2" l="1"/>
  <c r="AN42" i="2" s="1"/>
  <c r="AN37" i="2" l="1"/>
  <c r="AO28" i="2"/>
  <c r="AO29" i="2" s="1"/>
  <c r="AO30" i="2" s="1"/>
  <c r="AO38" i="2" l="1"/>
  <c r="AO31" i="2"/>
  <c r="AO42" i="2" s="1"/>
  <c r="AO37" i="2" l="1"/>
  <c r="AP28" i="2" l="1"/>
  <c r="AP29" i="2" s="1"/>
  <c r="AP30" i="2" s="1"/>
  <c r="AP38" i="2" l="1"/>
  <c r="AP31" i="2"/>
  <c r="AP42" i="2" s="1"/>
  <c r="AP37" i="2" l="1"/>
  <c r="AQ28" i="2" l="1"/>
  <c r="AQ29" i="2" s="1"/>
  <c r="AQ30" i="2" s="1"/>
  <c r="AQ38" i="2" l="1"/>
  <c r="AQ31" i="2" l="1"/>
  <c r="AQ42" i="2" s="1"/>
  <c r="AQ37" i="2" l="1"/>
  <c r="AR28" i="2"/>
  <c r="AR29" i="2" s="1"/>
  <c r="AR30" i="2" s="1"/>
  <c r="AR38" i="2" l="1"/>
  <c r="AR31" i="2" l="1"/>
  <c r="AR42" i="2" s="1"/>
  <c r="AR37" i="2" l="1"/>
  <c r="AS28" i="2"/>
  <c r="AS29" i="2" s="1"/>
  <c r="AS30" i="2" s="1"/>
  <c r="AS38" i="2" l="1"/>
  <c r="AS31" i="2" l="1"/>
  <c r="AS42" i="2" s="1"/>
  <c r="BC31" i="2" l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CG31" i="2" s="1"/>
  <c r="CH31" i="2" s="1"/>
  <c r="CI31" i="2" s="1"/>
  <c r="CJ31" i="2" s="1"/>
  <c r="CK31" i="2" s="1"/>
  <c r="CL31" i="2" s="1"/>
  <c r="CM31" i="2" s="1"/>
  <c r="CN31" i="2" s="1"/>
  <c r="CO31" i="2" s="1"/>
  <c r="CP31" i="2" s="1"/>
  <c r="CQ31" i="2" s="1"/>
  <c r="CR31" i="2" s="1"/>
  <c r="CS31" i="2" s="1"/>
  <c r="CT31" i="2" s="1"/>
  <c r="CU31" i="2" s="1"/>
  <c r="CV31" i="2" s="1"/>
  <c r="CW31" i="2" s="1"/>
  <c r="CX31" i="2" s="1"/>
  <c r="CY31" i="2" s="1"/>
  <c r="CZ31" i="2" s="1"/>
  <c r="DA31" i="2" s="1"/>
  <c r="DB31" i="2" s="1"/>
  <c r="DC31" i="2" s="1"/>
  <c r="DD31" i="2" s="1"/>
  <c r="DE31" i="2" s="1"/>
  <c r="DF31" i="2" s="1"/>
  <c r="DG31" i="2" s="1"/>
  <c r="DH31" i="2" s="1"/>
  <c r="DI31" i="2" s="1"/>
  <c r="DJ31" i="2" s="1"/>
  <c r="DK31" i="2" s="1"/>
  <c r="DL31" i="2" s="1"/>
  <c r="DM31" i="2" s="1"/>
  <c r="DN31" i="2" s="1"/>
  <c r="DO31" i="2" s="1"/>
  <c r="DP31" i="2" s="1"/>
  <c r="DQ31" i="2" s="1"/>
  <c r="DR31" i="2" s="1"/>
  <c r="DS31" i="2" s="1"/>
  <c r="DT31" i="2" s="1"/>
  <c r="DU31" i="2" s="1"/>
  <c r="DV31" i="2" s="1"/>
  <c r="DW31" i="2" s="1"/>
  <c r="DX31" i="2" s="1"/>
  <c r="DY31" i="2" s="1"/>
  <c r="DZ31" i="2" s="1"/>
  <c r="EA31" i="2" s="1"/>
  <c r="EB31" i="2" s="1"/>
  <c r="EC31" i="2" s="1"/>
  <c r="ED31" i="2" s="1"/>
  <c r="EE31" i="2" s="1"/>
  <c r="EF31" i="2" s="1"/>
  <c r="EG31" i="2" s="1"/>
  <c r="EH31" i="2" s="1"/>
  <c r="EI31" i="2" s="1"/>
  <c r="EJ31" i="2" s="1"/>
  <c r="EK31" i="2" s="1"/>
  <c r="EL31" i="2" s="1"/>
  <c r="EM31" i="2" s="1"/>
  <c r="EN31" i="2" s="1"/>
  <c r="EO31" i="2" s="1"/>
  <c r="EP31" i="2" s="1"/>
  <c r="AS37" i="2"/>
  <c r="BE37" i="2" l="1"/>
  <c r="BE38" i="2" s="1"/>
</calcChain>
</file>

<file path=xl/sharedStrings.xml><?xml version="1.0" encoding="utf-8"?>
<sst xmlns="http://schemas.openxmlformats.org/spreadsheetml/2006/main" count="192" uniqueCount="165">
  <si>
    <t>Revenue</t>
  </si>
  <si>
    <t>COGS</t>
  </si>
  <si>
    <t>Gross profit</t>
  </si>
  <si>
    <t>R&amp;D</t>
  </si>
  <si>
    <t>Operating expense</t>
  </si>
  <si>
    <t>Operating income</t>
  </si>
  <si>
    <t>Interest income</t>
  </si>
  <si>
    <t>Pretax</t>
  </si>
  <si>
    <t>Taxes</t>
  </si>
  <si>
    <t>Net income</t>
  </si>
  <si>
    <t>EPS</t>
  </si>
  <si>
    <t>Shares</t>
  </si>
  <si>
    <t>Gross margin</t>
  </si>
  <si>
    <t>Operating margin</t>
  </si>
  <si>
    <t>Net margin</t>
  </si>
  <si>
    <t>Tax rate</t>
  </si>
  <si>
    <t>Revenue y/y</t>
  </si>
  <si>
    <t>Q121</t>
  </si>
  <si>
    <t>Q222</t>
  </si>
  <si>
    <t>Q322</t>
  </si>
  <si>
    <t>Q221</t>
  </si>
  <si>
    <t>Q321</t>
  </si>
  <si>
    <t>Q421</t>
  </si>
  <si>
    <t>Q122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</si>
  <si>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</si>
  <si>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</si>
  <si>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</si>
  <si>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</si>
  <si>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</si>
  <si>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</si>
  <si>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</si>
  <si>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</si>
  <si>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</si>
  <si>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Price</t>
  </si>
  <si>
    <t>MC</t>
  </si>
  <si>
    <t>Cash</t>
  </si>
  <si>
    <t>Debt</t>
  </si>
  <si>
    <t>EV</t>
  </si>
  <si>
    <t>(PHIA)</t>
  </si>
  <si>
    <t>(in millions EUR)</t>
  </si>
  <si>
    <t>Sales</t>
  </si>
  <si>
    <t>G&amp;A</t>
  </si>
  <si>
    <t>Diagnosis &amp; Teatment</t>
  </si>
  <si>
    <t>Connected Care</t>
  </si>
  <si>
    <t>Personal Health</t>
  </si>
  <si>
    <t>Other</t>
  </si>
  <si>
    <t>Western Europe</t>
  </si>
  <si>
    <t>North America</t>
  </si>
  <si>
    <t>Other Mature geographies</t>
  </si>
  <si>
    <t>Growth geopraphies</t>
  </si>
  <si>
    <t>Rev %</t>
  </si>
  <si>
    <t>Philips Group</t>
  </si>
  <si>
    <t>Net cash</t>
  </si>
  <si>
    <t>PP&amp;E</t>
  </si>
  <si>
    <t>Goodwill</t>
  </si>
  <si>
    <t>A/R</t>
  </si>
  <si>
    <t>Investments</t>
  </si>
  <si>
    <t>Other financials</t>
  </si>
  <si>
    <t>Derivative</t>
  </si>
  <si>
    <t>D/T</t>
  </si>
  <si>
    <t>Inventories</t>
  </si>
  <si>
    <t>OCA</t>
  </si>
  <si>
    <t>ONCA</t>
  </si>
  <si>
    <t>Assets</t>
  </si>
  <si>
    <t>Provisions</t>
  </si>
  <si>
    <t>Contract liabilties</t>
  </si>
  <si>
    <t>A/P</t>
  </si>
  <si>
    <t>Dividend</t>
  </si>
  <si>
    <t>Held for sale</t>
  </si>
  <si>
    <t>OCL</t>
  </si>
  <si>
    <t>ONCL</t>
  </si>
  <si>
    <t>Liabilties</t>
  </si>
  <si>
    <t>S/E</t>
  </si>
  <si>
    <t>L+S/E</t>
  </si>
  <si>
    <t>Accrued liabilties</t>
  </si>
  <si>
    <t>Non-current tax liabilties</t>
  </si>
  <si>
    <t>Model NI</t>
  </si>
  <si>
    <t>Reported NI</t>
  </si>
  <si>
    <t>Discontinued</t>
  </si>
  <si>
    <t>D&amp;A</t>
  </si>
  <si>
    <t>SBC</t>
  </si>
  <si>
    <t>Sale of assets</t>
  </si>
  <si>
    <t>Interest expense</t>
  </si>
  <si>
    <t>Income taxes</t>
  </si>
  <si>
    <t>A/R current</t>
  </si>
  <si>
    <t>A/R non-current</t>
  </si>
  <si>
    <t>Other liabilties</t>
  </si>
  <si>
    <t>Other items</t>
  </si>
  <si>
    <t>Interest recieved</t>
  </si>
  <si>
    <t>Interest paid</t>
  </si>
  <si>
    <t>Dividends from investments</t>
  </si>
  <si>
    <t>CFFO</t>
  </si>
  <si>
    <t>CapEx</t>
  </si>
  <si>
    <t>FCF</t>
  </si>
  <si>
    <t>Derivatives</t>
  </si>
  <si>
    <t>Financial assets</t>
  </si>
  <si>
    <t>Acquisition</t>
  </si>
  <si>
    <t>Interests</t>
  </si>
  <si>
    <t>CFFI</t>
  </si>
  <si>
    <t>Treasury shares</t>
  </si>
  <si>
    <t>Dividends</t>
  </si>
  <si>
    <t>CFFF</t>
  </si>
  <si>
    <t>FX</t>
  </si>
  <si>
    <t>CIC</t>
  </si>
  <si>
    <t>TTM FCF</t>
  </si>
  <si>
    <t>Impairment</t>
  </si>
  <si>
    <t>Netherlands</t>
  </si>
  <si>
    <t>United Sates</t>
  </si>
  <si>
    <t>China</t>
  </si>
  <si>
    <t>Japan</t>
  </si>
  <si>
    <t>Germany</t>
  </si>
  <si>
    <t>Other countries</t>
  </si>
  <si>
    <t>Employees</t>
  </si>
  <si>
    <t xml:space="preserve">Frans van Houten </t>
  </si>
  <si>
    <t>Abhijt Bhattacharya</t>
  </si>
  <si>
    <t>Marnix van Ginneken</t>
  </si>
  <si>
    <t>CEO</t>
  </si>
  <si>
    <t>CFO</t>
  </si>
  <si>
    <t>CLO</t>
  </si>
  <si>
    <t>Members of the Board of Management</t>
  </si>
  <si>
    <t>Our view on healthcare</t>
  </si>
  <si>
    <t>Health technology is a large market, which is expected to grow by around 4% each</t>
  </si>
  <si>
    <t>year*). Besides the natural drivers of growth – aging populations, the rise of</t>
  </si>
  <si>
    <t>chronic diseases, increased spending on healthcare in emerging markets – we</t>
  </si>
  <si>
    <t>believe that health technology will be a major growth driver in the years to come.</t>
  </si>
  <si>
    <t>Aim to improve lives of 2 billion people a year by 2025, rising to 2,5 billion by 2030</t>
  </si>
  <si>
    <t>Notes from Annual report 2020</t>
  </si>
  <si>
    <t>CAGR</t>
  </si>
  <si>
    <t>Segment Lighting included in 2014, 2015 and 2016</t>
  </si>
  <si>
    <t>Diagnostic Imaging</t>
  </si>
  <si>
    <t>Image-Guided Therapy</t>
  </si>
  <si>
    <t>Ultrasound</t>
  </si>
  <si>
    <t>Patient Care &amp; Monitoring Solutions</t>
  </si>
  <si>
    <t>Healthcare Informatics, Solutions &amp; Services</t>
  </si>
  <si>
    <t>Population Health Managment</t>
  </si>
  <si>
    <t>Innovation</t>
  </si>
  <si>
    <t>Emerging Businesses</t>
  </si>
  <si>
    <t>IP Royalties</t>
  </si>
  <si>
    <t>Central costs</t>
  </si>
  <si>
    <t>Revenue Q324</t>
  </si>
  <si>
    <t>Health &amp; Welness:</t>
  </si>
  <si>
    <t>mother and child care,</t>
  </si>
  <si>
    <t>oral healthcare,</t>
  </si>
  <si>
    <t>pain relief</t>
  </si>
  <si>
    <t>Personal Care:</t>
  </si>
  <si>
    <t>male grooming,</t>
  </si>
  <si>
    <t>beauty</t>
  </si>
  <si>
    <t>Domestic Appliances:</t>
  </si>
  <si>
    <t>kitchen appliances,</t>
  </si>
  <si>
    <t>coffee,</t>
  </si>
  <si>
    <t>air,</t>
  </si>
  <si>
    <t>garment care,</t>
  </si>
  <si>
    <t>Sleep &amp; Respiratory Care:</t>
  </si>
  <si>
    <t>floor care</t>
  </si>
  <si>
    <t>sleep</t>
  </si>
  <si>
    <t>respiratory care,</t>
  </si>
  <si>
    <t>respiratory drug delivery</t>
  </si>
  <si>
    <t>Growth Rate</t>
  </si>
  <si>
    <t>Terminal</t>
  </si>
  <si>
    <t>Discount</t>
  </si>
  <si>
    <t>NPV</t>
  </si>
  <si>
    <t>Share</t>
  </si>
  <si>
    <t>NI TTM</t>
  </si>
  <si>
    <t>BROA</t>
  </si>
  <si>
    <t>Philips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</si>
</sst>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x"/>
    <numFmt numFmtId="165" formatCode="0.0%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4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/>
    <xf numFmtId="3" fontId="1" fillId="0" borderId="0" xfId="0" applyNumberFormat="1" applyFont="1"/>
    <xf numFmtId="9" fontId="1" fillId="0" borderId="0" xfId="0" applyNumberFormat="1" applyFont="1"/>
    <xf numFmtId="3" fontId="0" fillId="0" borderId="3" xfId="0" applyNumberFormat="1" applyBorder="1" applyAlignment="1">
      <alignment horizontal="right"/>
    </xf>
    <xf numFmtId="9" fontId="0" fillId="0" borderId="3" xfId="0" applyNumberFormat="1" applyBorder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9" fontId="0" fillId="2" borderId="1" xfId="0" applyNumberFormat="1" applyFill="1" applyBorder="1"/>
    <xf numFmtId="3" fontId="0" fillId="2" borderId="2" xfId="0" applyNumberFormat="1" applyFill="1" applyBorder="1"/>
    <xf numFmtId="3" fontId="0" fillId="2" borderId="4" xfId="0" applyNumberFormat="1" applyFill="1" applyBorder="1"/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3" fontId="0" fillId="0" borderId="4" xfId="0" applyNumberFormat="1" applyBorder="1"/>
    <xf numFmtId="9" fontId="0" fillId="0" borderId="4" xfId="0" applyNumberForma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</xdr:colOff>
      <xdr:row>0</xdr:row>
      <xdr:rowOff>47625</xdr:rowOff>
    </xdr:from>
    <xdr:to>
      <xdr:col>16</xdr:col>
      <xdr:colOff>9525</xdr:colOff>
      <xdr:row>102</xdr:row>
      <xdr:rowOff>133350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86756BD-A907-0A26-889B-2DE9A2043333}"/>
            </a:ext>
          </a:extLst>
        </xdr:cNvPr>
        <xdr:cNvCxnSpPr/>
      </xdr:nvCxnSpPr>
      <xdr:spPr>
        <a:xfrm>
          <a:off x="10868025" y="47625"/>
          <a:ext cx="0" cy="15211425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</xdr:colOff>
      <xdr:row>0</xdr:row>
      <xdr:rowOff>38100</xdr:rowOff>
    </xdr:from>
    <xdr:to>
      <xdr:col>29</xdr:col>
      <xdr:colOff>19050</xdr:colOff>
      <xdr:row>121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41125EE-9269-4A21-9836-4F28CCB79AC9}"/>
            </a:ext>
          </a:extLst>
        </xdr:cNvPr>
        <xdr:cNvCxnSpPr/>
      </xdr:nvCxnSpPr>
      <xdr:spPr>
        <a:xfrm>
          <a:off x="18192750" y="38100"/>
          <a:ext cx="0" cy="19392900"/>
        </a:xfrm>
        <a:prstGeom prst="straightConnector1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57D3E-517C-43A9-8332-58F200D60457}">
  <dimension ref="A1:L42"/>
  <sheetViews>
    <sheetView topLeftCell="B1" workbookViewId="0">
      <selection activeCell="H18" sqref="H18"/>
    </sheetView>
  </sheetViews>
  <sheetFormatPr defaultRowHeight="12.75" x14ac:dyDescent="0.2"/>
  <cols>
    <col min="3" max="3" width="26.7109375" customWidth="1"/>
    <col min="4" max="4" width="38.140625" customWidth="1"/>
    <col min="5" max="5" width="23.42578125" customWidth="1"/>
    <col min="6" max="6" width="20.5703125" customWidth="1"/>
    <col min="7" max="7" width="12.28515625" customWidth="1"/>
    <col min="12" max="12" width="10.140625" bestFit="1" customWidth="1"/>
  </cols>
  <sheetData>
    <row r="1" spans="1:12" ht="30" x14ac:dyDescent="0.4">
      <c r="A1" s="5" t="s">
        <v>164</v>
      </c>
    </row>
    <row r="2" spans="1:12" x14ac:dyDescent="0.2">
      <c r="A2" s="6" t="s">
        <v>38</v>
      </c>
    </row>
    <row r="3" spans="1:12" x14ac:dyDescent="0.2">
      <c r="A3" s="6" t="s">
        <v>39</v>
      </c>
      <c r="E3" s="29">
        <v>2016</v>
      </c>
      <c r="K3" t="s">
        <v>33</v>
      </c>
      <c r="L3">
        <v>25</v>
      </c>
    </row>
    <row r="4" spans="1:12" x14ac:dyDescent="0.2">
      <c r="C4" s="13" t="s">
        <v>42</v>
      </c>
      <c r="D4" s="13" t="s">
        <v>43</v>
      </c>
      <c r="E4" s="13" t="s">
        <v>44</v>
      </c>
      <c r="F4" s="13" t="s">
        <v>45</v>
      </c>
      <c r="G4" s="12"/>
      <c r="K4" t="s">
        <v>11</v>
      </c>
      <c r="L4" s="1">
        <f>+Model!P33</f>
        <v>944.28099999999995</v>
      </c>
    </row>
    <row r="5" spans="1:12" x14ac:dyDescent="0.2">
      <c r="C5" s="22" t="s">
        <v>129</v>
      </c>
      <c r="D5" s="22" t="s">
        <v>132</v>
      </c>
      <c r="E5" s="22" t="s">
        <v>140</v>
      </c>
      <c r="F5" s="22" t="s">
        <v>135</v>
      </c>
      <c r="K5" t="s">
        <v>34</v>
      </c>
      <c r="L5" s="1">
        <f>+L3*L4</f>
        <v>23607.024999999998</v>
      </c>
    </row>
    <row r="6" spans="1:12" x14ac:dyDescent="0.2">
      <c r="C6" s="22" t="s">
        <v>130</v>
      </c>
      <c r="D6" s="22" t="s">
        <v>133</v>
      </c>
      <c r="E6" t="s">
        <v>141</v>
      </c>
      <c r="F6" s="22" t="s">
        <v>136</v>
      </c>
      <c r="K6" t="s">
        <v>35</v>
      </c>
      <c r="L6" s="1">
        <v>1512</v>
      </c>
    </row>
    <row r="7" spans="1:12" x14ac:dyDescent="0.2">
      <c r="C7" s="22" t="s">
        <v>131</v>
      </c>
      <c r="D7" s="22" t="s">
        <v>134</v>
      </c>
      <c r="E7" t="s">
        <v>142</v>
      </c>
      <c r="F7" s="22" t="s">
        <v>137</v>
      </c>
      <c r="K7" t="s">
        <v>36</v>
      </c>
      <c r="L7" s="1">
        <v>8032</v>
      </c>
    </row>
    <row r="8" spans="1:12" x14ac:dyDescent="0.2">
      <c r="E8" t="s">
        <v>143</v>
      </c>
      <c r="F8" s="22" t="s">
        <v>138</v>
      </c>
      <c r="K8" t="s">
        <v>37</v>
      </c>
      <c r="L8" s="1">
        <f>+L5-L6+L7</f>
        <v>30127.024999999998</v>
      </c>
    </row>
    <row r="9" spans="1:12" x14ac:dyDescent="0.2">
      <c r="E9" s="22" t="s">
        <v>144</v>
      </c>
      <c r="F9" s="22" t="s">
        <v>45</v>
      </c>
      <c r="L9">
        <v>1582</v>
      </c>
    </row>
    <row r="10" spans="1:12" x14ac:dyDescent="0.2">
      <c r="E10" t="s">
        <v>145</v>
      </c>
    </row>
    <row r="11" spans="1:12" x14ac:dyDescent="0.2">
      <c r="E11" t="s">
        <v>146</v>
      </c>
      <c r="L11" s="11">
        <f>+L8/L9</f>
        <v>19.043631479140327</v>
      </c>
    </row>
    <row r="12" spans="1:12" x14ac:dyDescent="0.2">
      <c r="E12" s="22" t="s">
        <v>147</v>
      </c>
    </row>
    <row r="13" spans="1:12" x14ac:dyDescent="0.2">
      <c r="E13" t="s">
        <v>148</v>
      </c>
      <c r="K13" s="12" t="s">
        <v>119</v>
      </c>
    </row>
    <row r="14" spans="1:12" x14ac:dyDescent="0.2">
      <c r="E14" t="s">
        <v>149</v>
      </c>
      <c r="K14" t="s">
        <v>116</v>
      </c>
      <c r="L14" t="s">
        <v>113</v>
      </c>
    </row>
    <row r="15" spans="1:12" x14ac:dyDescent="0.2">
      <c r="E15" t="s">
        <v>150</v>
      </c>
      <c r="K15" t="s">
        <v>117</v>
      </c>
      <c r="L15" t="s">
        <v>114</v>
      </c>
    </row>
    <row r="16" spans="1:12" x14ac:dyDescent="0.2">
      <c r="E16" t="s">
        <v>151</v>
      </c>
      <c r="K16" t="s">
        <v>118</v>
      </c>
      <c r="L16" t="s">
        <v>115</v>
      </c>
    </row>
    <row r="17" spans="3:5" x14ac:dyDescent="0.2">
      <c r="E17" t="s">
        <v>153</v>
      </c>
    </row>
    <row r="18" spans="3:5" x14ac:dyDescent="0.2">
      <c r="E18" s="22" t="s">
        <v>152</v>
      </c>
    </row>
    <row r="19" spans="3:5" x14ac:dyDescent="0.2">
      <c r="E19" t="s">
        <v>154</v>
      </c>
    </row>
    <row r="20" spans="3:5" x14ac:dyDescent="0.2">
      <c r="E20" t="s">
        <v>155</v>
      </c>
    </row>
    <row r="21" spans="3:5" x14ac:dyDescent="0.2">
      <c r="E21" t="s">
        <v>156</v>
      </c>
    </row>
    <row r="29" spans="3:5" x14ac:dyDescent="0.2">
      <c r="C29" s="28"/>
      <c r="D29" s="28" t="s">
        <v>139</v>
      </c>
      <c r="E29" s="28" t="s">
        <v>50</v>
      </c>
    </row>
    <row r="30" spans="3:5" x14ac:dyDescent="0.2">
      <c r="C30" s="23" t="s">
        <v>42</v>
      </c>
      <c r="D30" s="9">
        <v>2150</v>
      </c>
      <c r="E30" s="10">
        <f>+D30/$D$34</f>
        <v>0.49120402101896277</v>
      </c>
    </row>
    <row r="31" spans="3:5" x14ac:dyDescent="0.2">
      <c r="C31" s="24" t="s">
        <v>43</v>
      </c>
      <c r="D31" s="9">
        <v>1211</v>
      </c>
      <c r="E31" s="10">
        <f>+D31/$D$34</f>
        <v>0.27667352067626227</v>
      </c>
    </row>
    <row r="32" spans="3:5" x14ac:dyDescent="0.2">
      <c r="C32" s="24" t="s">
        <v>44</v>
      </c>
      <c r="D32" s="9">
        <v>835</v>
      </c>
      <c r="E32" s="10">
        <f>+D32/$D$34</f>
        <v>0.19076993374457391</v>
      </c>
    </row>
    <row r="33" spans="3:5" x14ac:dyDescent="0.2">
      <c r="C33" s="24" t="s">
        <v>45</v>
      </c>
      <c r="D33" s="9">
        <v>181</v>
      </c>
      <c r="E33" s="10">
        <f>+D33/$D$34</f>
        <v>4.1352524560201054E-2</v>
      </c>
    </row>
    <row r="34" spans="3:5" x14ac:dyDescent="0.2">
      <c r="C34" s="25" t="s">
        <v>51</v>
      </c>
      <c r="D34" s="26">
        <f>+SUM(D30:D33)</f>
        <v>4377</v>
      </c>
      <c r="E34" s="27"/>
    </row>
    <row r="36" spans="3:5" x14ac:dyDescent="0.2">
      <c r="C36" s="12" t="s">
        <v>126</v>
      </c>
    </row>
    <row r="37" spans="3:5" x14ac:dyDescent="0.2">
      <c r="C37" t="s">
        <v>125</v>
      </c>
    </row>
    <row r="38" spans="3:5" x14ac:dyDescent="0.2">
      <c r="C38" s="12" t="s">
        <v>120</v>
      </c>
    </row>
    <row r="39" spans="3:5" x14ac:dyDescent="0.2">
      <c r="C39" t="s">
        <v>121</v>
      </c>
    </row>
    <row r="40" spans="3:5" x14ac:dyDescent="0.2">
      <c r="C40" t="s">
        <v>122</v>
      </c>
    </row>
    <row r="41" spans="3:5" x14ac:dyDescent="0.2">
      <c r="C41" t="s">
        <v>123</v>
      </c>
    </row>
    <row r="42" spans="3:5" x14ac:dyDescent="0.2">
      <c r="C42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CCE0-1B82-42B3-ACCF-9D5C740D0F5D}">
  <dimension ref="A1:EX119"/>
  <sheetViews>
    <sheetView tabSelected="1" workbookViewId="0">
      <pane xSplit="1" ySplit="3" topLeftCell="AJ4" activePane="bottomRight" state="frozen"/>
      <selection pane="topRight" activeCell="B1" sqref="B1"/>
      <selection pane="bottomLeft" activeCell="A3" sqref="A3"/>
      <selection pane="bottomRight" activeCell="AS14" sqref="AS14"/>
    </sheetView>
  </sheetViews>
  <sheetFormatPr defaultRowHeight="12.75" x14ac:dyDescent="0.2"/>
  <cols>
    <col min="1" max="1" width="25.7109375" style="1" bestFit="1" customWidth="1"/>
    <col min="2" max="10" width="9.140625" style="1"/>
    <col min="11" max="11" width="9.5703125" style="1" bestFit="1" customWidth="1"/>
    <col min="12" max="14" width="9.140625" style="1"/>
    <col min="15" max="15" width="9.5703125" style="1" bestFit="1" customWidth="1"/>
    <col min="16" max="17" width="9.140625" style="1"/>
    <col min="18" max="26" width="9.28515625" style="1" bestFit="1" customWidth="1"/>
    <col min="27" max="41" width="9.5703125" style="1" bestFit="1" customWidth="1"/>
    <col min="42" max="45" width="10.5703125" style="1" bestFit="1" customWidth="1"/>
    <col min="46" max="46" width="9.140625" style="1"/>
    <col min="47" max="47" width="9.28515625" style="1" customWidth="1"/>
    <col min="48" max="48" width="9.7109375" style="1" bestFit="1" customWidth="1"/>
    <col min="49" max="16384" width="9.140625" style="1"/>
  </cols>
  <sheetData>
    <row r="1" spans="1:54" ht="30" x14ac:dyDescent="0.4">
      <c r="A1" s="5" t="s">
        <v>164</v>
      </c>
    </row>
    <row r="2" spans="1:54" ht="13.5" customHeight="1" x14ac:dyDescent="0.2">
      <c r="A2" s="6" t="s">
        <v>38</v>
      </c>
    </row>
    <row r="3" spans="1:54" x14ac:dyDescent="0.2">
      <c r="A3" s="6" t="s">
        <v>39</v>
      </c>
      <c r="B3" s="2" t="s">
        <v>17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18</v>
      </c>
      <c r="H3" s="2" t="s">
        <v>19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31</v>
      </c>
      <c r="Q3" s="2" t="s">
        <v>32</v>
      </c>
      <c r="R3" s="13" t="s">
        <v>127</v>
      </c>
      <c r="S3">
        <v>2013</v>
      </c>
      <c r="T3">
        <v>2014</v>
      </c>
      <c r="U3">
        <f>+T3+1</f>
        <v>2015</v>
      </c>
      <c r="V3">
        <f t="shared" ref="V3:AN3" si="0">+U3+1</f>
        <v>2016</v>
      </c>
      <c r="W3">
        <f t="shared" si="0"/>
        <v>2017</v>
      </c>
      <c r="X3">
        <f t="shared" si="0"/>
        <v>2018</v>
      </c>
      <c r="Y3">
        <f t="shared" si="0"/>
        <v>2019</v>
      </c>
      <c r="Z3">
        <f t="shared" si="0"/>
        <v>2020</v>
      </c>
      <c r="AA3">
        <f t="shared" si="0"/>
        <v>2021</v>
      </c>
      <c r="AB3">
        <f t="shared" si="0"/>
        <v>2022</v>
      </c>
      <c r="AC3">
        <f t="shared" si="0"/>
        <v>2023</v>
      </c>
      <c r="AD3">
        <f t="shared" si="0"/>
        <v>2024</v>
      </c>
      <c r="AE3">
        <f t="shared" si="0"/>
        <v>2025</v>
      </c>
      <c r="AF3">
        <f t="shared" si="0"/>
        <v>2026</v>
      </c>
      <c r="AG3">
        <f t="shared" si="0"/>
        <v>2027</v>
      </c>
      <c r="AH3">
        <f t="shared" si="0"/>
        <v>2028</v>
      </c>
      <c r="AI3">
        <f t="shared" si="0"/>
        <v>2029</v>
      </c>
      <c r="AJ3">
        <f t="shared" si="0"/>
        <v>2030</v>
      </c>
      <c r="AK3">
        <f t="shared" si="0"/>
        <v>2031</v>
      </c>
      <c r="AL3">
        <f t="shared" si="0"/>
        <v>2032</v>
      </c>
      <c r="AM3">
        <f t="shared" si="0"/>
        <v>2033</v>
      </c>
      <c r="AN3">
        <f t="shared" si="0"/>
        <v>2034</v>
      </c>
      <c r="AO3">
        <f t="shared" ref="AO3" si="1">+AN3+1</f>
        <v>2035</v>
      </c>
      <c r="AP3">
        <f t="shared" ref="AP3" si="2">+AO3+1</f>
        <v>2036</v>
      </c>
      <c r="AQ3">
        <f t="shared" ref="AQ3" si="3">+AP3+1</f>
        <v>2037</v>
      </c>
      <c r="AR3">
        <f t="shared" ref="AR3" si="4">+AQ3+1</f>
        <v>2038</v>
      </c>
      <c r="AS3">
        <f t="shared" ref="AS3" si="5">+AR3+1</f>
        <v>2039</v>
      </c>
      <c r="AT3">
        <f t="shared" ref="AT3" si="6">+AS3+1</f>
        <v>2040</v>
      </c>
      <c r="AU3">
        <f t="shared" ref="AU3" si="7">+AT3+1</f>
        <v>2041</v>
      </c>
      <c r="AV3">
        <f t="shared" ref="AV3" si="8">+AU3+1</f>
        <v>2042</v>
      </c>
      <c r="AW3">
        <f t="shared" ref="AW3" si="9">+AV3+1</f>
        <v>2043</v>
      </c>
      <c r="AX3">
        <f t="shared" ref="AX3" si="10">+AW3+1</f>
        <v>2044</v>
      </c>
      <c r="AY3">
        <f t="shared" ref="AY3" si="11">+AX3+1</f>
        <v>2045</v>
      </c>
      <c r="AZ3">
        <f t="shared" ref="AZ3" si="12">+AY3+1</f>
        <v>2046</v>
      </c>
      <c r="BA3">
        <f t="shared" ref="BA3" si="13">+AZ3+1</f>
        <v>2047</v>
      </c>
      <c r="BB3">
        <f t="shared" ref="BB3" si="14">+BA3+1</f>
        <v>2048</v>
      </c>
    </row>
    <row r="4" spans="1:54" s="30" customFormat="1" x14ac:dyDescent="0.2">
      <c r="A4" s="30" t="s">
        <v>106</v>
      </c>
      <c r="B4" s="31"/>
      <c r="C4" s="31"/>
      <c r="D4" s="31"/>
      <c r="E4" s="31"/>
      <c r="F4" s="31"/>
      <c r="G4" s="31"/>
      <c r="H4" s="31"/>
      <c r="I4" s="31"/>
      <c r="J4" s="31"/>
      <c r="K4" s="31">
        <v>1093</v>
      </c>
      <c r="L4" s="31"/>
      <c r="M4" s="31"/>
      <c r="N4" s="31"/>
      <c r="O4" s="31">
        <v>1103</v>
      </c>
      <c r="P4" s="31"/>
      <c r="Q4" s="31"/>
      <c r="R4" s="32">
        <f>(AC4/S4)^(1/11)-1</f>
        <v>0.12581873896347306</v>
      </c>
      <c r="S4" s="30">
        <v>649</v>
      </c>
      <c r="T4" s="30">
        <v>594</v>
      </c>
      <c r="U4" s="30">
        <v>374</v>
      </c>
      <c r="V4" s="30">
        <v>393</v>
      </c>
      <c r="W4" s="30">
        <v>414</v>
      </c>
      <c r="X4" s="30">
        <v>510</v>
      </c>
      <c r="Y4" s="30">
        <v>522</v>
      </c>
      <c r="Z4" s="30">
        <v>555</v>
      </c>
      <c r="AA4" s="30">
        <v>1860</v>
      </c>
      <c r="AB4" s="30">
        <v>2021</v>
      </c>
      <c r="AC4" s="30">
        <v>2390</v>
      </c>
      <c r="AD4" s="30">
        <f>+AC4*(1+$R$4)</f>
        <v>2690.7067861227006</v>
      </c>
      <c r="AE4" s="30">
        <f t="shared" ref="AE4:AS4" si="15">+AD4*(1+$R$4)</f>
        <v>3029.2481208731183</v>
      </c>
      <c r="AF4" s="30">
        <f t="shared" si="15"/>
        <v>3410.3842994488446</v>
      </c>
      <c r="AG4" s="30">
        <f t="shared" si="15"/>
        <v>3839.4745513863259</v>
      </c>
      <c r="AH4" s="30">
        <f t="shared" si="15"/>
        <v>4322.5523977241</v>
      </c>
      <c r="AI4" s="30">
        <f t="shared" si="15"/>
        <v>4866.4104895092833</v>
      </c>
      <c r="AJ4" s="30">
        <f t="shared" si="15"/>
        <v>5478.6961205779589</v>
      </c>
      <c r="AK4" s="30">
        <f t="shared" si="15"/>
        <v>6168.01875763315</v>
      </c>
      <c r="AL4" s="30">
        <f t="shared" si="15"/>
        <v>6944.0710996216012</v>
      </c>
      <c r="AM4" s="30">
        <f t="shared" si="15"/>
        <v>7817.7653686486892</v>
      </c>
      <c r="AN4" s="30">
        <f t="shared" si="15"/>
        <v>8801.3867488443793</v>
      </c>
      <c r="AO4" s="30">
        <f t="shared" si="15"/>
        <v>9908.7661307138005</v>
      </c>
      <c r="AP4" s="30">
        <f t="shared" si="15"/>
        <v>11155.474589964184</v>
      </c>
      <c r="AQ4" s="30">
        <f t="shared" si="15"/>
        <v>12559.042335412545</v>
      </c>
      <c r="AR4" s="30">
        <f t="shared" si="15"/>
        <v>14139.205204643024</v>
      </c>
      <c r="AS4" s="30">
        <f t="shared" si="15"/>
        <v>15918.182173436984</v>
      </c>
      <c r="AT4" s="30">
        <f t="shared" ref="AT4" si="16">+AS4*(1+$R$4)</f>
        <v>17920.987781089661</v>
      </c>
      <c r="AU4" s="30">
        <f t="shared" ref="AU4" si="17">+AT4*(1+$R$4)</f>
        <v>20175.783864686171</v>
      </c>
      <c r="AV4" s="30">
        <f t="shared" ref="AV4" si="18">+AU4*(1+$R$4)</f>
        <v>22714.275548140573</v>
      </c>
      <c r="AW4" s="30">
        <f t="shared" ref="AW4" si="19">+AV4*(1+$R$4)</f>
        <v>25572.15705407647</v>
      </c>
      <c r="AX4" s="30">
        <f t="shared" ref="AX4" si="20">+AW4*(1+$R$4)</f>
        <v>28789.613607196254</v>
      </c>
      <c r="AY4" s="30">
        <f t="shared" ref="AY4" si="21">+AX4*(1+$R$4)</f>
        <v>32411.88648649933</v>
      </c>
      <c r="AZ4" s="30">
        <f t="shared" ref="AZ4" si="22">+AY4*(1+$R$4)</f>
        <v>36489.909171657906</v>
      </c>
      <c r="BA4" s="30">
        <f t="shared" ref="BA4" si="23">+AZ4*(1+$R$4)</f>
        <v>41081.02352852757</v>
      </c>
      <c r="BB4" s="30">
        <f t="shared" ref="BB4" si="24">+BA4*(1+$R$4)</f>
        <v>46249.786104215673</v>
      </c>
    </row>
    <row r="5" spans="1:54" x14ac:dyDescent="0.2">
      <c r="A5" t="s">
        <v>107</v>
      </c>
      <c r="B5" s="2"/>
      <c r="C5" s="2"/>
      <c r="D5" s="2"/>
      <c r="E5" s="2"/>
      <c r="F5" s="2"/>
      <c r="G5" s="2"/>
      <c r="H5" s="2"/>
      <c r="I5" s="2"/>
      <c r="J5" s="2"/>
      <c r="K5" s="2">
        <v>3520</v>
      </c>
      <c r="L5" s="2"/>
      <c r="M5" s="2"/>
      <c r="N5" s="2"/>
      <c r="O5" s="2">
        <v>3479</v>
      </c>
      <c r="P5" s="2"/>
      <c r="Q5" s="2"/>
      <c r="R5" s="15">
        <f t="shared" ref="R5:R9" si="25">(AC5/S5)^(1/11)-1</f>
        <v>1.156736853228546E-2</v>
      </c>
      <c r="S5" s="1">
        <v>6325</v>
      </c>
      <c r="T5">
        <v>6160</v>
      </c>
      <c r="U5">
        <v>5742</v>
      </c>
      <c r="V5">
        <v>5948</v>
      </c>
      <c r="W5">
        <v>6084</v>
      </c>
      <c r="X5">
        <v>6050</v>
      </c>
      <c r="Y5">
        <v>6667</v>
      </c>
      <c r="Z5">
        <v>6636</v>
      </c>
      <c r="AA5">
        <v>6403</v>
      </c>
      <c r="AB5">
        <v>7226</v>
      </c>
      <c r="AC5">
        <v>7178</v>
      </c>
      <c r="AD5" s="30">
        <f>+AC5*(1+$R$5)</f>
        <v>7261.0305713247453</v>
      </c>
      <c r="AE5" s="30">
        <f t="shared" ref="AE5:AS5" si="26">+AD5*(1+$R$5)</f>
        <v>7345.0215878674499</v>
      </c>
      <c r="AF5" s="30">
        <f t="shared" si="26"/>
        <v>7429.9841594519048</v>
      </c>
      <c r="AG5" s="30">
        <f t="shared" si="26"/>
        <v>7515.9295244133282</v>
      </c>
      <c r="AH5" s="30">
        <f t="shared" si="26"/>
        <v>7602.8690510849019</v>
      </c>
      <c r="AI5" s="30">
        <f t="shared" si="26"/>
        <v>7690.8142393015087</v>
      </c>
      <c r="AJ5" s="30">
        <f t="shared" si="26"/>
        <v>7779.7767219208581</v>
      </c>
      <c r="AK5" s="30">
        <f t="shared" si="26"/>
        <v>7869.7682663622127</v>
      </c>
      <c r="AL5" s="30">
        <f t="shared" si="26"/>
        <v>7960.8007761629096</v>
      </c>
      <c r="AM5" s="30">
        <f t="shared" si="26"/>
        <v>8052.8862925528902</v>
      </c>
      <c r="AN5" s="30">
        <f t="shared" si="26"/>
        <v>8146.0369960474391</v>
      </c>
      <c r="AO5" s="30">
        <f t="shared" si="26"/>
        <v>8240.2652080583521</v>
      </c>
      <c r="AP5" s="30">
        <f t="shared" si="26"/>
        <v>8335.583392523733</v>
      </c>
      <c r="AQ5" s="30">
        <f t="shared" si="26"/>
        <v>8432.0041575566538</v>
      </c>
      <c r="AR5" s="30">
        <f t="shared" si="26"/>
        <v>8529.5402571128743</v>
      </c>
      <c r="AS5" s="30">
        <f t="shared" si="26"/>
        <v>8628.2045926778646</v>
      </c>
      <c r="AT5" s="30">
        <f t="shared" ref="AT5" si="27">+AS5*(1+$R$5)</f>
        <v>8728.0102149733266</v>
      </c>
      <c r="AU5" s="30">
        <f t="shared" ref="AU5" si="28">+AT5*(1+$R$5)</f>
        <v>8828.9703256834746</v>
      </c>
      <c r="AV5" s="30">
        <f t="shared" ref="AV5" si="29">+AU5*(1+$R$5)</f>
        <v>8931.0982792012674</v>
      </c>
      <c r="AW5" s="30">
        <f t="shared" ref="AW5" si="30">+AV5*(1+$R$5)</f>
        <v>9034.4075843948485</v>
      </c>
      <c r="AX5" s="30">
        <f t="shared" ref="AX5" si="31">+AW5*(1+$R$5)</f>
        <v>9138.9119063944181</v>
      </c>
      <c r="AY5" s="30">
        <f t="shared" ref="AY5" si="32">+AX5*(1+$R$5)</f>
        <v>9244.6250683997732</v>
      </c>
      <c r="AZ5" s="30">
        <f t="shared" ref="AZ5" si="33">+AY5*(1+$R$5)</f>
        <v>9351.5610535087581</v>
      </c>
      <c r="BA5" s="30">
        <f t="shared" ref="BA5" si="34">+AZ5*(1+$R$5)</f>
        <v>9459.7340065668614</v>
      </c>
      <c r="BB5" s="30">
        <f t="shared" ref="BB5" si="35">+BA5*(1+$R$5)</f>
        <v>9569.1582360382126</v>
      </c>
    </row>
    <row r="6" spans="1:54" x14ac:dyDescent="0.2">
      <c r="A6" t="s">
        <v>108</v>
      </c>
      <c r="B6" s="2"/>
      <c r="C6" s="2"/>
      <c r="D6" s="2"/>
      <c r="E6" s="2"/>
      <c r="F6" s="2"/>
      <c r="G6" s="2"/>
      <c r="H6" s="2"/>
      <c r="I6" s="2"/>
      <c r="J6" s="2"/>
      <c r="K6" s="2">
        <v>715</v>
      </c>
      <c r="L6" s="2"/>
      <c r="M6" s="2"/>
      <c r="N6" s="2"/>
      <c r="O6" s="2">
        <v>651</v>
      </c>
      <c r="P6" s="2"/>
      <c r="Q6" s="2"/>
      <c r="R6" s="15">
        <f t="shared" si="25"/>
        <v>-5.4759622384378037E-2</v>
      </c>
      <c r="S6" s="1">
        <v>2616</v>
      </c>
      <c r="T6">
        <v>2362</v>
      </c>
      <c r="U6">
        <v>2132</v>
      </c>
      <c r="V6">
        <v>2210</v>
      </c>
      <c r="W6">
        <v>2322</v>
      </c>
      <c r="X6">
        <v>2380</v>
      </c>
      <c r="Y6">
        <v>2707</v>
      </c>
      <c r="Z6">
        <v>2432</v>
      </c>
      <c r="AA6">
        <v>1400</v>
      </c>
      <c r="AB6">
        <v>1239</v>
      </c>
      <c r="AC6">
        <v>1408</v>
      </c>
      <c r="AD6" s="30">
        <f>+AC6*(1+$R$6)</f>
        <v>1330.8984516827957</v>
      </c>
      <c r="AE6" s="30">
        <f t="shared" ref="AE6:AS6" si="36">+AD6*(1+$R$6)</f>
        <v>1258.0189550366924</v>
      </c>
      <c r="AF6" s="30">
        <f t="shared" si="36"/>
        <v>1189.1303121064932</v>
      </c>
      <c r="AG6" s="30">
        <f t="shared" si="36"/>
        <v>1124.0139852497241</v>
      </c>
      <c r="AH6" s="30">
        <f t="shared" si="36"/>
        <v>1062.4634038626893</v>
      </c>
      <c r="AI6" s="30">
        <f t="shared" si="36"/>
        <v>1004.2833090699476</v>
      </c>
      <c r="AJ6" s="30">
        <f t="shared" si="36"/>
        <v>949.28913429834358</v>
      </c>
      <c r="AK6" s="30">
        <f t="shared" si="36"/>
        <v>897.30641977057314</v>
      </c>
      <c r="AL6" s="30">
        <f t="shared" si="36"/>
        <v>848.17025906085837</v>
      </c>
      <c r="AM6" s="30">
        <f t="shared" si="36"/>
        <v>801.72477595702571</v>
      </c>
      <c r="AN6" s="30">
        <f t="shared" si="36"/>
        <v>757.82262996941893</v>
      </c>
      <c r="AO6" s="30">
        <f t="shared" si="36"/>
        <v>716.32454891795726</v>
      </c>
      <c r="AP6" s="30">
        <f t="shared" si="36"/>
        <v>677.09888711454994</v>
      </c>
      <c r="AQ6" s="30">
        <f t="shared" si="36"/>
        <v>640.02120773927459</v>
      </c>
      <c r="AR6" s="30">
        <f t="shared" si="36"/>
        <v>604.97388808547839</v>
      </c>
      <c r="AS6" s="30">
        <f t="shared" si="36"/>
        <v>571.84574642150858</v>
      </c>
      <c r="AT6" s="30">
        <f t="shared" ref="AT6" si="37">+AS6*(1+$R$6)</f>
        <v>540.53168928535399</v>
      </c>
      <c r="AU6" s="30">
        <f t="shared" ref="AU6" si="38">+AT6*(1+$R$6)</f>
        <v>510.93237809329804</v>
      </c>
      <c r="AV6" s="30">
        <f t="shared" ref="AV6" si="39">+AU6*(1+$R$6)</f>
        <v>482.9539140049568</v>
      </c>
      <c r="AW6" s="30">
        <f t="shared" ref="AW6" si="40">+AV6*(1+$R$6)</f>
        <v>456.50754004498799</v>
      </c>
      <c r="AX6" s="30">
        <f t="shared" ref="AX6" si="41">+AW6*(1+$R$6)</f>
        <v>431.5093595365031</v>
      </c>
      <c r="AY6" s="30">
        <f t="shared" ref="AY6" si="42">+AX6*(1+$R$6)</f>
        <v>407.88006995295939</v>
      </c>
      <c r="AZ6" s="30">
        <f t="shared" ref="AZ6" si="43">+AY6*(1+$R$6)</f>
        <v>385.54471134422164</v>
      </c>
      <c r="BA6" s="30">
        <f t="shared" ref="BA6" si="44">+AZ6*(1+$R$6)</f>
        <v>364.43242853871806</v>
      </c>
      <c r="BB6" s="30">
        <f t="shared" ref="BB6" si="45">+BA6*(1+$R$6)</f>
        <v>344.47624636731604</v>
      </c>
    </row>
    <row r="7" spans="1:54" x14ac:dyDescent="0.2">
      <c r="A7" t="s">
        <v>109</v>
      </c>
      <c r="B7" s="2"/>
      <c r="C7" s="2"/>
      <c r="D7" s="2"/>
      <c r="E7" s="2"/>
      <c r="F7" s="2"/>
      <c r="G7" s="2"/>
      <c r="H7" s="2"/>
      <c r="I7" s="2"/>
      <c r="J7" s="2"/>
      <c r="K7" s="2">
        <v>486</v>
      </c>
      <c r="L7" s="2"/>
      <c r="M7" s="2"/>
      <c r="N7" s="2"/>
      <c r="O7" s="2">
        <v>465</v>
      </c>
      <c r="P7" s="2"/>
      <c r="Q7" s="2"/>
      <c r="R7" s="15">
        <f t="shared" si="25"/>
        <v>-1.9299437855913038E-4</v>
      </c>
      <c r="S7" s="1">
        <v>943</v>
      </c>
      <c r="T7">
        <v>908</v>
      </c>
      <c r="U7" s="1">
        <v>962</v>
      </c>
      <c r="V7">
        <v>1103</v>
      </c>
      <c r="W7">
        <v>1059</v>
      </c>
      <c r="X7">
        <v>1045</v>
      </c>
      <c r="Y7">
        <v>1186</v>
      </c>
      <c r="Z7">
        <v>1113</v>
      </c>
      <c r="AA7">
        <v>1068</v>
      </c>
      <c r="AB7">
        <v>1011</v>
      </c>
      <c r="AC7">
        <v>941</v>
      </c>
      <c r="AD7" s="30">
        <f>+AC7*(1+$R$7)</f>
        <v>940.81839228977583</v>
      </c>
      <c r="AE7" s="30">
        <f t="shared" ref="AE7:AS7" si="46">+AD7*(1+$R$7)</f>
        <v>940.6368196288189</v>
      </c>
      <c r="AF7" s="30">
        <f t="shared" si="46"/>
        <v>940.45528201036484</v>
      </c>
      <c r="AG7" s="30">
        <f t="shared" si="46"/>
        <v>940.27377942765065</v>
      </c>
      <c r="AH7" s="30">
        <f t="shared" si="46"/>
        <v>940.09231187391458</v>
      </c>
      <c r="AI7" s="30">
        <f t="shared" si="46"/>
        <v>939.91087934239624</v>
      </c>
      <c r="AJ7" s="30">
        <f t="shared" si="46"/>
        <v>939.72948182633661</v>
      </c>
      <c r="AK7" s="30">
        <f t="shared" si="46"/>
        <v>939.5481193189778</v>
      </c>
      <c r="AL7" s="30">
        <f t="shared" si="46"/>
        <v>939.3667918135634</v>
      </c>
      <c r="AM7" s="30">
        <f t="shared" si="46"/>
        <v>939.18549930333825</v>
      </c>
      <c r="AN7" s="30">
        <f t="shared" si="46"/>
        <v>939.00424178154844</v>
      </c>
      <c r="AO7" s="30">
        <f t="shared" si="46"/>
        <v>938.82301924144144</v>
      </c>
      <c r="AP7" s="30">
        <f t="shared" si="46"/>
        <v>938.64183167626595</v>
      </c>
      <c r="AQ7" s="30">
        <f t="shared" si="46"/>
        <v>938.46067907927204</v>
      </c>
      <c r="AR7" s="30">
        <f t="shared" si="46"/>
        <v>938.27956144371092</v>
      </c>
      <c r="AS7" s="30">
        <f t="shared" si="46"/>
        <v>938.09847876283538</v>
      </c>
      <c r="AT7" s="30">
        <f t="shared" ref="AT7" si="47">+AS7*(1+$R$7)</f>
        <v>937.91743102989926</v>
      </c>
      <c r="AU7" s="30">
        <f t="shared" ref="AU7" si="48">+AT7*(1+$R$7)</f>
        <v>937.73641823815785</v>
      </c>
      <c r="AV7" s="30">
        <f t="shared" ref="AV7" si="49">+AU7*(1+$R$7)</f>
        <v>937.55544038086771</v>
      </c>
      <c r="AW7" s="30">
        <f t="shared" ref="AW7" si="50">+AV7*(1+$R$7)</f>
        <v>937.37449745128663</v>
      </c>
      <c r="AX7" s="30">
        <f t="shared" ref="AX7" si="51">+AW7*(1+$R$7)</f>
        <v>937.1935894426739</v>
      </c>
      <c r="AY7" s="30">
        <f t="shared" ref="AY7" si="52">+AX7*(1+$R$7)</f>
        <v>937.01271634828981</v>
      </c>
      <c r="AZ7" s="30">
        <f t="shared" ref="AZ7" si="53">+AY7*(1+$R$7)</f>
        <v>936.83187816139616</v>
      </c>
      <c r="BA7" s="30">
        <f t="shared" ref="BA7" si="54">+AZ7*(1+$R$7)</f>
        <v>936.65107487525597</v>
      </c>
      <c r="BB7" s="30">
        <f t="shared" ref="BB7" si="55">+BA7*(1+$R$7)</f>
        <v>936.47030648313364</v>
      </c>
    </row>
    <row r="8" spans="1:54" x14ac:dyDescent="0.2">
      <c r="A8" t="s">
        <v>110</v>
      </c>
      <c r="B8" s="2"/>
      <c r="C8" s="2"/>
      <c r="D8" s="2"/>
      <c r="E8" s="2"/>
      <c r="F8" s="2"/>
      <c r="G8" s="2"/>
      <c r="H8" s="2"/>
      <c r="I8" s="2"/>
      <c r="J8" s="2"/>
      <c r="K8" s="2">
        <v>280</v>
      </c>
      <c r="L8" s="2"/>
      <c r="M8" s="2"/>
      <c r="N8" s="2"/>
      <c r="O8" s="2">
        <v>303</v>
      </c>
      <c r="P8" s="2"/>
      <c r="Q8" s="2"/>
      <c r="R8" s="15">
        <f t="shared" si="25"/>
        <v>-7.2801731219693244E-2</v>
      </c>
      <c r="S8" s="1">
        <v>1316</v>
      </c>
      <c r="T8">
        <v>1351</v>
      </c>
      <c r="U8">
        <v>929</v>
      </c>
      <c r="V8">
        <v>965</v>
      </c>
      <c r="W8">
        <v>1011</v>
      </c>
      <c r="X8">
        <v>1032</v>
      </c>
      <c r="Y8">
        <v>1087</v>
      </c>
      <c r="Z8">
        <v>1314</v>
      </c>
      <c r="AA8">
        <v>970</v>
      </c>
      <c r="AB8">
        <v>642</v>
      </c>
      <c r="AC8">
        <v>573</v>
      </c>
      <c r="AD8" s="30">
        <f>+AC8*(1+$R$8)</f>
        <v>531.28460801111578</v>
      </c>
      <c r="AE8" s="30">
        <f t="shared" ref="AE8:AS8" si="56">+AD8*(1+$R$8)</f>
        <v>492.60616877753046</v>
      </c>
      <c r="AF8" s="30">
        <f t="shared" si="56"/>
        <v>456.74358688102586</v>
      </c>
      <c r="AG8" s="30">
        <f t="shared" si="56"/>
        <v>423.49186303259484</v>
      </c>
      <c r="AH8" s="30">
        <f t="shared" si="56"/>
        <v>392.66092224636873</v>
      </c>
      <c r="AI8" s="30">
        <f t="shared" si="56"/>
        <v>364.07452732451173</v>
      </c>
      <c r="AJ8" s="30">
        <f t="shared" si="56"/>
        <v>337.56927144229576</v>
      </c>
      <c r="AK8" s="30">
        <f t="shared" si="56"/>
        <v>312.99364407472609</v>
      </c>
      <c r="AL8" s="30">
        <f t="shared" si="56"/>
        <v>290.20716492532557</v>
      </c>
      <c r="AM8" s="30">
        <f t="shared" si="56"/>
        <v>269.07958090640284</v>
      </c>
      <c r="AN8" s="30">
        <f t="shared" si="56"/>
        <v>249.4901215805472</v>
      </c>
      <c r="AO8" s="30">
        <f t="shared" si="56"/>
        <v>231.32680880727162</v>
      </c>
      <c r="AP8" s="30">
        <f t="shared" si="56"/>
        <v>214.48581664857525</v>
      </c>
      <c r="AQ8" s="30">
        <f t="shared" si="56"/>
        <v>198.87087787448928</v>
      </c>
      <c r="AR8" s="30">
        <f t="shared" si="56"/>
        <v>184.39273367604628</v>
      </c>
      <c r="AS8" s="30">
        <f t="shared" si="56"/>
        <v>170.96862344009827</v>
      </c>
      <c r="AT8" s="30">
        <f t="shared" ref="AT8" si="57">+AS8*(1+$R$8)</f>
        <v>158.52181166941128</v>
      </c>
      <c r="AU8" s="30">
        <f t="shared" ref="AU8" si="58">+AT8*(1+$R$8)</f>
        <v>146.98114934379598</v>
      </c>
      <c r="AV8" s="30">
        <f t="shared" ref="AV8" si="59">+AU8*(1+$R$8)</f>
        <v>136.28066721490734</v>
      </c>
      <c r="AW8" s="30">
        <f t="shared" ref="AW8" si="60">+AV8*(1+$R$8)</f>
        <v>126.3591987098872</v>
      </c>
      <c r="AX8" s="30">
        <f t="shared" ref="AX8" si="61">+AW8*(1+$R$8)</f>
        <v>117.16003028827417</v>
      </c>
      <c r="AY8" s="30">
        <f t="shared" ref="AY8" si="62">+AX8*(1+$R$8)</f>
        <v>108.63057725353612</v>
      </c>
      <c r="AZ8" s="30">
        <f t="shared" ref="AZ8" si="63">+AY8*(1+$R$8)</f>
        <v>100.72208316608406</v>
      </c>
      <c r="BA8" s="30">
        <f t="shared" ref="BA8" si="64">+AZ8*(1+$R$8)</f>
        <v>93.389341139539226</v>
      </c>
      <c r="BB8" s="30">
        <f t="shared" ref="BB8" si="65">+BA8*(1+$R$8)</f>
        <v>86.590435427114244</v>
      </c>
    </row>
    <row r="9" spans="1:54" x14ac:dyDescent="0.2">
      <c r="A9" t="s">
        <v>111</v>
      </c>
      <c r="B9" s="2"/>
      <c r="C9" s="2"/>
      <c r="D9" s="2"/>
      <c r="E9" s="2"/>
      <c r="F9" s="2"/>
      <c r="G9" s="2"/>
      <c r="H9" s="2"/>
      <c r="I9" s="2"/>
      <c r="J9" s="2"/>
      <c r="K9" s="2">
        <v>2541</v>
      </c>
      <c r="L9" s="2"/>
      <c r="M9" s="2"/>
      <c r="N9" s="2"/>
      <c r="O9" s="2">
        <v>2599</v>
      </c>
      <c r="P9" s="2"/>
      <c r="Q9" s="2"/>
      <c r="R9" s="15">
        <f t="shared" si="25"/>
        <v>-5.134504263041817E-2</v>
      </c>
      <c r="S9" s="1">
        <f>890+677+8574</f>
        <v>10141</v>
      </c>
      <c r="T9" s="1">
        <f>839+722+8455</f>
        <v>10016</v>
      </c>
      <c r="U9" s="1">
        <f>487+431+5749</f>
        <v>6667</v>
      </c>
      <c r="V9" s="1">
        <f>513+399+5891</f>
        <v>6803</v>
      </c>
      <c r="W9" s="1">
        <f>530+425+5935</f>
        <v>6890</v>
      </c>
      <c r="X9" s="1">
        <f>519+498+6087</f>
        <v>7104</v>
      </c>
      <c r="Y9">
        <f>505+470+6338</f>
        <v>7313</v>
      </c>
      <c r="Z9">
        <f>545+509+6432</f>
        <v>7486</v>
      </c>
      <c r="AA9">
        <f>446+431+426+4150</f>
        <v>5453</v>
      </c>
      <c r="AB9">
        <v>5688</v>
      </c>
      <c r="AC9">
        <v>5679</v>
      </c>
      <c r="AD9" s="30">
        <f>+AC9*(1+$R$9)</f>
        <v>5387.4115029018549</v>
      </c>
      <c r="AE9" s="30">
        <f t="shared" ref="AE9:AS9" si="66">+AD9*(1+$R$9)</f>
        <v>5110.7946296177543</v>
      </c>
      <c r="AF9" s="30">
        <f t="shared" si="66"/>
        <v>4848.3806614847181</v>
      </c>
      <c r="AG9" s="30">
        <f t="shared" si="66"/>
        <v>4599.4403497322901</v>
      </c>
      <c r="AH9" s="30">
        <f t="shared" si="66"/>
        <v>4363.2818888992206</v>
      </c>
      <c r="AI9" s="30">
        <f t="shared" si="66"/>
        <v>4139.2489943051587</v>
      </c>
      <c r="AJ9" s="30">
        <f t="shared" si="66"/>
        <v>3926.7190782346447</v>
      </c>
      <c r="AK9" s="30">
        <f t="shared" si="66"/>
        <v>3725.1015197650104</v>
      </c>
      <c r="AL9" s="30">
        <f t="shared" si="66"/>
        <v>3533.8360234300403</v>
      </c>
      <c r="AM9" s="30">
        <f t="shared" si="66"/>
        <v>3352.3910621581176</v>
      </c>
      <c r="AN9" s="30">
        <f t="shared" si="66"/>
        <v>3180.262400157776</v>
      </c>
      <c r="AO9" s="30">
        <f t="shared" si="66"/>
        <v>3016.9716916457592</v>
      </c>
      <c r="AP9" s="30">
        <f t="shared" si="66"/>
        <v>2862.0651515234426</v>
      </c>
      <c r="AQ9" s="30">
        <f t="shared" si="66"/>
        <v>2715.1122943074374</v>
      </c>
      <c r="AR9" s="30">
        <f t="shared" si="66"/>
        <v>2575.7047378098496</v>
      </c>
      <c r="AS9" s="30">
        <f t="shared" si="66"/>
        <v>2443.4550682436329</v>
      </c>
      <c r="AT9" s="30">
        <f t="shared" ref="AT9" si="67">+AS9*(1+$R$9)</f>
        <v>2317.9957635991523</v>
      </c>
      <c r="AU9" s="30">
        <f t="shared" ref="AU9" si="68">+AT9*(1+$R$9)</f>
        <v>2198.9781723000251</v>
      </c>
      <c r="AV9" s="30">
        <f t="shared" ref="AV9" si="69">+AU9*(1+$R$9)</f>
        <v>2086.0715442999212</v>
      </c>
      <c r="AW9" s="30">
        <f t="shared" ref="AW9" si="70">+AV9*(1+$R$9)</f>
        <v>1978.9621119277394</v>
      </c>
      <c r="AX9" s="30">
        <f t="shared" ref="AX9" si="71">+AW9*(1+$R$9)</f>
        <v>1877.3522179268273</v>
      </c>
      <c r="AY9" s="30">
        <f t="shared" ref="AY9" si="72">+AX9*(1+$R$9)</f>
        <v>1780.9594882650642</v>
      </c>
      <c r="AZ9" s="30">
        <f t="shared" ref="AZ9" si="73">+AY9*(1+$R$9)</f>
        <v>1689.5160474170468</v>
      </c>
      <c r="BA9" s="30">
        <f t="shared" ref="BA9" si="74">+AZ9*(1+$R$9)</f>
        <v>1602.7677739376429</v>
      </c>
      <c r="BB9" s="30">
        <f t="shared" ref="BB9" si="75">+BA9*(1+$R$9)</f>
        <v>1520.4735942581542</v>
      </c>
    </row>
    <row r="10" spans="1:54" x14ac:dyDescent="0.2">
      <c r="A1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T10" s="16" t="s">
        <v>128</v>
      </c>
      <c r="U10" s="16"/>
      <c r="V10" s="16"/>
      <c r="W10" s="16"/>
      <c r="X10" s="16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54" x14ac:dyDescent="0.2">
      <c r="A11" t="s">
        <v>46</v>
      </c>
      <c r="B11" s="2">
        <v>791</v>
      </c>
      <c r="C11" s="2">
        <v>873</v>
      </c>
      <c r="D11" s="2">
        <v>870</v>
      </c>
      <c r="E11" s="2">
        <f t="shared" ref="E11:E14" si="76">+AA11-SUM(B11:D11)</f>
        <v>1111</v>
      </c>
      <c r="F11" s="2">
        <v>785</v>
      </c>
      <c r="G11" s="2">
        <v>818</v>
      </c>
      <c r="H11" s="2">
        <v>856</v>
      </c>
      <c r="I11" s="2">
        <v>1144</v>
      </c>
      <c r="J11" s="2">
        <v>801</v>
      </c>
      <c r="K11" s="2">
        <v>913</v>
      </c>
      <c r="L11" s="2">
        <v>942</v>
      </c>
      <c r="M11" s="2">
        <v>1163</v>
      </c>
      <c r="N11" s="2">
        <v>852</v>
      </c>
      <c r="O11" s="2">
        <v>937</v>
      </c>
      <c r="P11" s="2">
        <v>965</v>
      </c>
      <c r="Q11" s="2"/>
      <c r="T11" s="16">
        <v>5665</v>
      </c>
      <c r="U11" s="16">
        <v>5886</v>
      </c>
      <c r="V11" s="16">
        <v>5886</v>
      </c>
      <c r="W11">
        <v>3802</v>
      </c>
      <c r="X11">
        <v>3990</v>
      </c>
      <c r="Y11">
        <v>4134</v>
      </c>
      <c r="Z11">
        <v>4613</v>
      </c>
      <c r="AA11">
        <v>3645</v>
      </c>
      <c r="AB11">
        <v>3603</v>
      </c>
      <c r="AC11" s="1">
        <v>3819</v>
      </c>
      <c r="AD11"/>
      <c r="AE11"/>
      <c r="AF11"/>
      <c r="AG11"/>
      <c r="AH11"/>
      <c r="AI11"/>
      <c r="AJ11"/>
      <c r="AK11"/>
      <c r="AL11"/>
      <c r="AM11"/>
      <c r="AN11"/>
    </row>
    <row r="12" spans="1:54" x14ac:dyDescent="0.2">
      <c r="A12" t="s">
        <v>47</v>
      </c>
      <c r="B12" s="2">
        <v>1534</v>
      </c>
      <c r="C12" s="2">
        <v>1674</v>
      </c>
      <c r="D12" s="2">
        <v>1670</v>
      </c>
      <c r="E12" s="2">
        <f t="shared" si="76"/>
        <v>1903</v>
      </c>
      <c r="F12" s="2">
        <v>1650</v>
      </c>
      <c r="G12" s="2">
        <v>1856</v>
      </c>
      <c r="H12" s="2">
        <v>1799</v>
      </c>
      <c r="I12" s="2">
        <v>2283</v>
      </c>
      <c r="J12" s="2">
        <v>1779</v>
      </c>
      <c r="K12" s="2">
        <v>1624</v>
      </c>
      <c r="L12" s="2">
        <v>1856</v>
      </c>
      <c r="M12" s="2">
        <v>2004</v>
      </c>
      <c r="N12" s="2">
        <v>1745</v>
      </c>
      <c r="O12" s="2">
        <v>1944</v>
      </c>
      <c r="P12" s="2">
        <v>1873</v>
      </c>
      <c r="Q12" s="2"/>
      <c r="T12" s="16">
        <v>6678</v>
      </c>
      <c r="U12" s="16">
        <v>8095</v>
      </c>
      <c r="V12" s="16">
        <v>8261</v>
      </c>
      <c r="W12">
        <v>6409</v>
      </c>
      <c r="X12">
        <v>6338</v>
      </c>
      <c r="Y12">
        <v>6951</v>
      </c>
      <c r="Z12">
        <v>6949</v>
      </c>
      <c r="AA12">
        <v>6781</v>
      </c>
      <c r="AB12">
        <v>7588</v>
      </c>
      <c r="AC12" s="1">
        <v>7562</v>
      </c>
      <c r="AD12"/>
      <c r="AE12"/>
      <c r="AF12"/>
      <c r="AG12"/>
      <c r="AH12"/>
      <c r="AI12"/>
      <c r="AJ12"/>
      <c r="AK12"/>
      <c r="AL12"/>
      <c r="AM12"/>
      <c r="AN12"/>
    </row>
    <row r="13" spans="1:54" x14ac:dyDescent="0.2">
      <c r="A13" t="s">
        <v>48</v>
      </c>
      <c r="B13" s="2">
        <v>2779</v>
      </c>
      <c r="C13" s="2">
        <v>408</v>
      </c>
      <c r="D13" s="2">
        <v>383</v>
      </c>
      <c r="E13" s="2">
        <f>+AA13-SUM(B13:D13)</f>
        <v>-1876</v>
      </c>
      <c r="F13" s="2">
        <v>410</v>
      </c>
      <c r="G13" s="2">
        <v>388</v>
      </c>
      <c r="H13" s="2">
        <v>373</v>
      </c>
      <c r="I13" s="2">
        <v>471</v>
      </c>
      <c r="J13" s="2">
        <v>416</v>
      </c>
      <c r="K13" s="2">
        <v>428</v>
      </c>
      <c r="L13" s="2">
        <v>373</v>
      </c>
      <c r="M13" s="2">
        <v>408</v>
      </c>
      <c r="N13" s="2">
        <v>398</v>
      </c>
      <c r="O13" s="2">
        <v>376</v>
      </c>
      <c r="P13" s="2">
        <v>324</v>
      </c>
      <c r="Q13" s="2"/>
      <c r="T13" s="16">
        <v>1661</v>
      </c>
      <c r="U13" s="16">
        <v>1855</v>
      </c>
      <c r="V13" s="16">
        <v>2001</v>
      </c>
      <c r="W13">
        <v>1707</v>
      </c>
      <c r="X13">
        <v>1892</v>
      </c>
      <c r="Y13">
        <v>1905</v>
      </c>
      <c r="Z13">
        <v>1860</v>
      </c>
      <c r="AA13">
        <v>1694</v>
      </c>
      <c r="AB13">
        <v>1643</v>
      </c>
      <c r="AC13" s="1">
        <v>1626</v>
      </c>
      <c r="AD13"/>
      <c r="AE13"/>
      <c r="AF13"/>
      <c r="AG13"/>
      <c r="AH13"/>
      <c r="AI13"/>
      <c r="AJ13"/>
      <c r="AK13"/>
      <c r="AL13"/>
      <c r="AM13"/>
      <c r="AN13"/>
    </row>
    <row r="14" spans="1:54" x14ac:dyDescent="0.2">
      <c r="A14" t="s">
        <v>49</v>
      </c>
      <c r="B14" s="2">
        <v>1048</v>
      </c>
      <c r="C14" s="2">
        <v>1275</v>
      </c>
      <c r="D14" s="2">
        <v>1231</v>
      </c>
      <c r="E14" s="2">
        <f t="shared" si="76"/>
        <v>1482</v>
      </c>
      <c r="F14" s="2">
        <v>1072</v>
      </c>
      <c r="G14" s="2">
        <v>1115</v>
      </c>
      <c r="H14" s="2">
        <v>1282</v>
      </c>
      <c r="I14" s="2">
        <v>1524</v>
      </c>
      <c r="J14" s="2">
        <v>1171</v>
      </c>
      <c r="K14" s="2">
        <v>1205</v>
      </c>
      <c r="L14" s="2">
        <v>1300</v>
      </c>
      <c r="M14" s="2">
        <v>1486</v>
      </c>
      <c r="N14" s="2">
        <v>1142</v>
      </c>
      <c r="O14" s="2">
        <v>1205</v>
      </c>
      <c r="P14" s="2">
        <v>1214</v>
      </c>
      <c r="Q14" s="2"/>
      <c r="T14" s="16">
        <v>7387</v>
      </c>
      <c r="U14" s="16">
        <v>8408</v>
      </c>
      <c r="V14" s="16">
        <v>8368</v>
      </c>
      <c r="W14">
        <v>5862</v>
      </c>
      <c r="X14">
        <v>5901</v>
      </c>
      <c r="Y14">
        <v>6492</v>
      </c>
      <c r="Z14">
        <v>6113</v>
      </c>
      <c r="AA14">
        <v>5036</v>
      </c>
      <c r="AB14">
        <v>4993</v>
      </c>
      <c r="AC14" s="1">
        <v>5162</v>
      </c>
      <c r="AD14"/>
      <c r="AE14"/>
      <c r="AF14"/>
      <c r="AG14"/>
      <c r="AH14"/>
      <c r="AI14"/>
      <c r="AJ14"/>
      <c r="AK14"/>
      <c r="AL14"/>
      <c r="AM14"/>
      <c r="AN14"/>
    </row>
    <row r="15" spans="1:54" x14ac:dyDescent="0.2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54" x14ac:dyDescent="0.2">
      <c r="A16" t="s">
        <v>42</v>
      </c>
      <c r="B16" s="2">
        <v>1856</v>
      </c>
      <c r="C16" s="2">
        <v>2117</v>
      </c>
      <c r="D16" s="2">
        <v>2154</v>
      </c>
      <c r="E16" s="2">
        <f>+AA16-SUM(B16:D16)</f>
        <v>1698</v>
      </c>
      <c r="F16" s="2">
        <v>1911</v>
      </c>
      <c r="G16" s="2">
        <v>1940</v>
      </c>
      <c r="H16" s="2">
        <v>2292</v>
      </c>
      <c r="I16" s="2">
        <v>2550</v>
      </c>
      <c r="J16" s="2">
        <v>2010</v>
      </c>
      <c r="K16" s="2">
        <v>2115</v>
      </c>
      <c r="L16" s="2">
        <v>2202</v>
      </c>
      <c r="M16" s="2">
        <v>2497</v>
      </c>
      <c r="N16" s="2">
        <v>2026</v>
      </c>
      <c r="O16" s="2">
        <v>2174</v>
      </c>
      <c r="P16" s="2">
        <v>2150</v>
      </c>
      <c r="Q16" s="2"/>
      <c r="R16" s="15">
        <f>(AC16/T16)^(1/10)-1</f>
        <v>5.2545135802241072E-2</v>
      </c>
      <c r="T16">
        <v>5284</v>
      </c>
      <c r="U16">
        <v>6484</v>
      </c>
      <c r="V16">
        <v>6686</v>
      </c>
      <c r="W16">
        <v>7365</v>
      </c>
      <c r="X16">
        <v>7726</v>
      </c>
      <c r="Y16" s="1">
        <v>8485</v>
      </c>
      <c r="Z16" s="1">
        <v>8175</v>
      </c>
      <c r="AA16">
        <v>7825</v>
      </c>
      <c r="AB16">
        <v>8290</v>
      </c>
      <c r="AC16">
        <v>8818</v>
      </c>
      <c r="AD16"/>
      <c r="AE16"/>
      <c r="AF16"/>
      <c r="AG16"/>
      <c r="AH16"/>
      <c r="AI16"/>
      <c r="AJ16"/>
      <c r="AK16"/>
      <c r="AL16"/>
      <c r="AM16"/>
      <c r="AN16"/>
    </row>
    <row r="17" spans="1:154" x14ac:dyDescent="0.2">
      <c r="A17" t="s">
        <v>43</v>
      </c>
      <c r="B17" s="2">
        <v>1155</v>
      </c>
      <c r="C17" s="2">
        <v>1182</v>
      </c>
      <c r="D17" s="2">
        <v>1040</v>
      </c>
      <c r="E17" s="2">
        <f t="shared" ref="E17:E18" si="77">+AA17-SUM(B17:D17)</f>
        <v>1994</v>
      </c>
      <c r="F17" s="2">
        <v>993</v>
      </c>
      <c r="G17" s="2">
        <v>1273</v>
      </c>
      <c r="H17" s="2">
        <v>982</v>
      </c>
      <c r="I17" s="2">
        <v>1622</v>
      </c>
      <c r="J17" s="2">
        <v>1226</v>
      </c>
      <c r="K17" s="2">
        <v>1327</v>
      </c>
      <c r="L17" s="2">
        <v>1232</v>
      </c>
      <c r="M17" s="2">
        <v>1353</v>
      </c>
      <c r="N17" s="2">
        <v>1164</v>
      </c>
      <c r="O17" s="2">
        <v>1332</v>
      </c>
      <c r="P17" s="2">
        <v>1211</v>
      </c>
      <c r="Q17" s="2"/>
      <c r="R17" s="15">
        <f>(AC17/T17)^(1/10)-1</f>
        <v>6.7090267364028122E-2</v>
      </c>
      <c r="T17">
        <v>2684</v>
      </c>
      <c r="U17">
        <v>3022</v>
      </c>
      <c r="V17">
        <v>3158</v>
      </c>
      <c r="W17">
        <v>4331</v>
      </c>
      <c r="X17">
        <v>4341</v>
      </c>
      <c r="Y17" s="1">
        <v>4674</v>
      </c>
      <c r="Z17" s="1">
        <v>5564</v>
      </c>
      <c r="AA17">
        <v>5371</v>
      </c>
      <c r="AB17">
        <v>5268</v>
      </c>
      <c r="AC17">
        <v>5138</v>
      </c>
      <c r="AD17"/>
      <c r="AE17"/>
      <c r="AF17"/>
      <c r="AG17"/>
      <c r="AH17"/>
      <c r="AI17"/>
      <c r="AJ17"/>
      <c r="AK17"/>
      <c r="AL17"/>
      <c r="AM17"/>
      <c r="AN17"/>
    </row>
    <row r="18" spans="1:154" x14ac:dyDescent="0.2">
      <c r="A18" t="s">
        <v>44</v>
      </c>
      <c r="B18" s="2">
        <v>741</v>
      </c>
      <c r="C18" s="2">
        <v>827</v>
      </c>
      <c r="D18" s="2">
        <v>902</v>
      </c>
      <c r="E18" s="2">
        <f t="shared" si="77"/>
        <v>959</v>
      </c>
      <c r="F18" s="2">
        <v>838</v>
      </c>
      <c r="G18" s="2">
        <v>831</v>
      </c>
      <c r="H18" s="2">
        <v>808</v>
      </c>
      <c r="I18" s="2">
        <v>1056</v>
      </c>
      <c r="J18" s="2">
        <v>798</v>
      </c>
      <c r="K18" s="2">
        <v>836</v>
      </c>
      <c r="L18" s="2">
        <v>898</v>
      </c>
      <c r="M18" s="2">
        <v>1069</v>
      </c>
      <c r="N18" s="2">
        <v>790</v>
      </c>
      <c r="O18" s="1">
        <v>834</v>
      </c>
      <c r="P18" s="2">
        <v>835</v>
      </c>
      <c r="Q18" s="2"/>
      <c r="R18" s="15">
        <f>(AC18/T18)^(1/10)-1</f>
        <v>-4.8919505615627967E-2</v>
      </c>
      <c r="T18">
        <v>5948</v>
      </c>
      <c r="U18">
        <v>6751</v>
      </c>
      <c r="V18">
        <v>7099</v>
      </c>
      <c r="W18">
        <v>5685</v>
      </c>
      <c r="X18">
        <v>5524</v>
      </c>
      <c r="Y18" s="1">
        <v>5854</v>
      </c>
      <c r="Z18" s="1">
        <v>5407</v>
      </c>
      <c r="AA18">
        <v>3429</v>
      </c>
      <c r="AB18">
        <v>3626</v>
      </c>
      <c r="AC18">
        <v>3602</v>
      </c>
      <c r="AD18"/>
      <c r="AE18"/>
      <c r="AF18"/>
      <c r="AG18"/>
      <c r="AH18"/>
      <c r="AI18"/>
      <c r="AJ18"/>
      <c r="AK18"/>
      <c r="AL18"/>
      <c r="AM18"/>
      <c r="AN18"/>
    </row>
    <row r="19" spans="1:154" x14ac:dyDescent="0.2">
      <c r="A19" t="s">
        <v>45</v>
      </c>
      <c r="B19" s="2">
        <v>76</v>
      </c>
      <c r="C19" s="2">
        <v>104</v>
      </c>
      <c r="D19" s="2">
        <v>153</v>
      </c>
      <c r="E19" s="2">
        <f>+AA19-SUM(B19:D19)</f>
        <v>197</v>
      </c>
      <c r="F19" s="2">
        <v>176</v>
      </c>
      <c r="G19" s="2">
        <v>133</v>
      </c>
      <c r="H19" s="2">
        <v>135</v>
      </c>
      <c r="I19" s="2">
        <v>194</v>
      </c>
      <c r="J19" s="2">
        <v>132</v>
      </c>
      <c r="K19" s="2">
        <v>191</v>
      </c>
      <c r="L19" s="2">
        <v>140</v>
      </c>
      <c r="M19" s="2">
        <v>143</v>
      </c>
      <c r="N19" s="2">
        <v>157</v>
      </c>
      <c r="O19" s="1">
        <v>121</v>
      </c>
      <c r="P19" s="2">
        <v>181</v>
      </c>
      <c r="Q19" s="2"/>
      <c r="R19" s="15">
        <f>(AC19/T19)^(1/10)-1</f>
        <v>2.3109803432313836E-2</v>
      </c>
      <c r="S19" s="13"/>
      <c r="T19">
        <v>487</v>
      </c>
      <c r="U19" s="1">
        <v>503</v>
      </c>
      <c r="V19">
        <v>478</v>
      </c>
      <c r="W19">
        <v>400</v>
      </c>
      <c r="X19">
        <v>530</v>
      </c>
      <c r="Y19" s="1">
        <v>469</v>
      </c>
      <c r="Z19" s="1">
        <v>389</v>
      </c>
      <c r="AA19">
        <v>530</v>
      </c>
      <c r="AB19">
        <v>643</v>
      </c>
      <c r="AC19">
        <v>612</v>
      </c>
      <c r="AD19"/>
      <c r="AE19"/>
      <c r="AF19"/>
      <c r="AG19"/>
      <c r="AH19"/>
      <c r="AI19"/>
      <c r="AJ19"/>
      <c r="AK19"/>
      <c r="AL19"/>
      <c r="AM19"/>
      <c r="AN19"/>
    </row>
    <row r="20" spans="1:154" s="7" customFormat="1" x14ac:dyDescent="0.2">
      <c r="A20" s="7" t="s">
        <v>0</v>
      </c>
      <c r="B20" s="7">
        <v>3827</v>
      </c>
      <c r="C20" s="7">
        <v>4230</v>
      </c>
      <c r="D20" s="7">
        <v>4156</v>
      </c>
      <c r="E20" s="7">
        <v>5422</v>
      </c>
      <c r="F20" s="7">
        <v>3918</v>
      </c>
      <c r="G20" s="7">
        <v>4177</v>
      </c>
      <c r="H20" s="7">
        <v>4310</v>
      </c>
      <c r="I20" s="7">
        <v>5422</v>
      </c>
      <c r="J20" s="7">
        <v>4167</v>
      </c>
      <c r="K20" s="7">
        <v>4470</v>
      </c>
      <c r="L20" s="7">
        <v>4471</v>
      </c>
      <c r="M20" s="7">
        <v>5062</v>
      </c>
      <c r="N20" s="7">
        <v>4138</v>
      </c>
      <c r="O20" s="7">
        <v>4462</v>
      </c>
      <c r="P20" s="7">
        <v>4377</v>
      </c>
      <c r="R20" s="15">
        <f>(AC20/T20)^(1/10)-1</f>
        <v>2.3499904375557934E-2</v>
      </c>
      <c r="S20" s="15"/>
      <c r="T20" s="7">
        <f>+SUM(T16:T19)</f>
        <v>14403</v>
      </c>
      <c r="U20" s="7">
        <f>+SUM(U16:U19)</f>
        <v>16760</v>
      </c>
      <c r="V20" s="7">
        <f>+SUM(V16:V19)</f>
        <v>17421</v>
      </c>
      <c r="W20" s="7">
        <v>17780</v>
      </c>
      <c r="X20" s="7">
        <v>18121</v>
      </c>
      <c r="Y20" s="7">
        <v>19482</v>
      </c>
      <c r="Z20" s="7">
        <v>19535</v>
      </c>
      <c r="AA20" s="7">
        <v>17156</v>
      </c>
      <c r="AB20" s="7">
        <v>17827</v>
      </c>
      <c r="AC20" s="7">
        <v>18169</v>
      </c>
      <c r="AD20" s="7">
        <f>+AC20*1.03</f>
        <v>18714.07</v>
      </c>
      <c r="AE20" s="7">
        <f t="shared" ref="AE20:AS20" si="78">+AD20*1.03</f>
        <v>19275.492099999999</v>
      </c>
      <c r="AF20" s="7">
        <f t="shared" si="78"/>
        <v>19853.756862999999</v>
      </c>
      <c r="AG20" s="7">
        <f t="shared" si="78"/>
        <v>20449.369568890001</v>
      </c>
      <c r="AH20" s="7">
        <f t="shared" si="78"/>
        <v>21062.850655956699</v>
      </c>
      <c r="AI20" s="7">
        <f t="shared" si="78"/>
        <v>21694.7361756354</v>
      </c>
      <c r="AJ20" s="7">
        <f t="shared" si="78"/>
        <v>22345.578260904462</v>
      </c>
      <c r="AK20" s="7">
        <f t="shared" si="78"/>
        <v>23015.945608731596</v>
      </c>
      <c r="AL20" s="7">
        <f t="shared" si="78"/>
        <v>23706.423976993545</v>
      </c>
      <c r="AM20" s="7">
        <f t="shared" si="78"/>
        <v>24417.61669630335</v>
      </c>
      <c r="AN20" s="7">
        <f t="shared" si="78"/>
        <v>25150.145197192451</v>
      </c>
      <c r="AO20" s="7">
        <f t="shared" si="78"/>
        <v>25904.649553108226</v>
      </c>
      <c r="AP20" s="7">
        <f t="shared" si="78"/>
        <v>26681.789039701474</v>
      </c>
      <c r="AQ20" s="7">
        <f t="shared" si="78"/>
        <v>27482.242710892519</v>
      </c>
      <c r="AR20" s="7">
        <f t="shared" si="78"/>
        <v>28306.709992219294</v>
      </c>
      <c r="AS20" s="7">
        <f t="shared" si="78"/>
        <v>29155.911291985874</v>
      </c>
      <c r="AT20" s="7">
        <f t="shared" ref="AT20" si="79">+AS20*1.03</f>
        <v>30030.588630745453</v>
      </c>
      <c r="AU20" s="7">
        <f t="shared" ref="AU20" si="80">+AT20*1.03</f>
        <v>30931.506289667817</v>
      </c>
      <c r="AV20" s="7">
        <f t="shared" ref="AV20" si="81">+AU20*1.03</f>
        <v>31859.451478357852</v>
      </c>
      <c r="AW20" s="7">
        <f t="shared" ref="AW20" si="82">+AV20*1.03</f>
        <v>32815.235022708592</v>
      </c>
      <c r="AX20" s="7">
        <f t="shared" ref="AX20" si="83">+AW20*1.03</f>
        <v>33799.692073389851</v>
      </c>
      <c r="AY20" s="7">
        <f t="shared" ref="AY20" si="84">+AX20*1.03</f>
        <v>34813.68283559155</v>
      </c>
      <c r="AZ20" s="7">
        <f t="shared" ref="AZ20" si="85">+AY20*1.03</f>
        <v>35858.093320659296</v>
      </c>
      <c r="BA20" s="7">
        <f t="shared" ref="BA20" si="86">+AZ20*1.03</f>
        <v>36933.836120279077</v>
      </c>
      <c r="BB20" s="7">
        <f t="shared" ref="BB20" si="87">+BA20*1.03</f>
        <v>38041.851203887447</v>
      </c>
    </row>
    <row r="21" spans="1:154" x14ac:dyDescent="0.2">
      <c r="A21" s="1" t="s">
        <v>1</v>
      </c>
      <c r="B21" s="1">
        <v>2340</v>
      </c>
      <c r="C21" s="1">
        <v>2441</v>
      </c>
      <c r="D21" s="1">
        <v>2182</v>
      </c>
      <c r="E21" s="1">
        <v>3201</v>
      </c>
      <c r="F21" s="1">
        <v>2407</v>
      </c>
      <c r="G21" s="1">
        <v>2445</v>
      </c>
      <c r="H21" s="1">
        <v>2580</v>
      </c>
      <c r="I21" s="1">
        <v>3201</v>
      </c>
      <c r="J21" s="1">
        <v>2411</v>
      </c>
      <c r="K21" s="1">
        <v>2508</v>
      </c>
      <c r="L21" s="1">
        <v>2538</v>
      </c>
      <c r="M21" s="1">
        <v>3263</v>
      </c>
      <c r="N21" s="1">
        <v>2323</v>
      </c>
      <c r="O21" s="1">
        <v>2473</v>
      </c>
      <c r="P21" s="1">
        <v>2371</v>
      </c>
      <c r="R21" s="15">
        <f>(AC21/W21)^(1/7)-1</f>
        <v>1.5902453052104804E-2</v>
      </c>
      <c r="S21" s="15"/>
      <c r="T21" s="17">
        <v>13185</v>
      </c>
      <c r="U21" s="17">
        <v>14388</v>
      </c>
      <c r="V21" s="17">
        <v>13904</v>
      </c>
      <c r="W21" s="1">
        <v>9600</v>
      </c>
      <c r="X21" s="1">
        <v>9568</v>
      </c>
      <c r="Y21" s="1">
        <v>10607</v>
      </c>
      <c r="Z21" s="1">
        <v>10754</v>
      </c>
      <c r="AA21" s="1">
        <v>9988</v>
      </c>
      <c r="AB21" s="1">
        <v>10633</v>
      </c>
      <c r="AC21" s="1">
        <v>10721</v>
      </c>
      <c r="AD21" s="1">
        <f>+AC21*1.016</f>
        <v>10892.536</v>
      </c>
      <c r="AE21" s="1">
        <f t="shared" ref="AE21:AS21" si="88">+AD21*1.016</f>
        <v>11066.816576000001</v>
      </c>
      <c r="AF21" s="1">
        <f t="shared" si="88"/>
        <v>11243.885641216002</v>
      </c>
      <c r="AG21" s="1">
        <f t="shared" si="88"/>
        <v>11423.787811475459</v>
      </c>
      <c r="AH21" s="1">
        <f t="shared" si="88"/>
        <v>11606.568416459066</v>
      </c>
      <c r="AI21" s="1">
        <f t="shared" si="88"/>
        <v>11792.27351112241</v>
      </c>
      <c r="AJ21" s="1">
        <f t="shared" si="88"/>
        <v>11980.949887300369</v>
      </c>
      <c r="AK21" s="1">
        <f t="shared" si="88"/>
        <v>12172.645085497175</v>
      </c>
      <c r="AL21" s="1">
        <f t="shared" si="88"/>
        <v>12367.40740686513</v>
      </c>
      <c r="AM21" s="1">
        <f t="shared" si="88"/>
        <v>12565.285925374972</v>
      </c>
      <c r="AN21" s="1">
        <f t="shared" si="88"/>
        <v>12766.330500180971</v>
      </c>
      <c r="AO21" s="1">
        <f t="shared" si="88"/>
        <v>12970.591788183867</v>
      </c>
      <c r="AP21" s="1">
        <f t="shared" si="88"/>
        <v>13178.12125679481</v>
      </c>
      <c r="AQ21" s="1">
        <f t="shared" si="88"/>
        <v>13388.971196903527</v>
      </c>
      <c r="AR21" s="1">
        <f t="shared" si="88"/>
        <v>13603.194736053983</v>
      </c>
      <c r="AS21" s="1">
        <f t="shared" si="88"/>
        <v>13820.845851830847</v>
      </c>
      <c r="AT21" s="1">
        <f t="shared" ref="AT21" si="89">+AS21*1.016</f>
        <v>14041.979385460141</v>
      </c>
      <c r="AU21" s="1">
        <f t="shared" ref="AU21" si="90">+AT21*1.016</f>
        <v>14266.651055627504</v>
      </c>
      <c r="AV21" s="1">
        <f t="shared" ref="AV21" si="91">+AU21*1.016</f>
        <v>14494.917472517545</v>
      </c>
      <c r="AW21" s="1">
        <f t="shared" ref="AW21" si="92">+AV21*1.016</f>
        <v>14726.836152077827</v>
      </c>
      <c r="AX21" s="1">
        <f t="shared" ref="AX21" si="93">+AW21*1.016</f>
        <v>14962.465530511072</v>
      </c>
      <c r="AY21" s="1">
        <f t="shared" ref="AY21" si="94">+AX21*1.016</f>
        <v>15201.864978999249</v>
      </c>
      <c r="AZ21" s="1">
        <f t="shared" ref="AZ21" si="95">+AY21*1.016</f>
        <v>15445.094818663238</v>
      </c>
      <c r="BA21" s="1">
        <f t="shared" ref="BA21" si="96">+AZ21*1.016</f>
        <v>15692.21633576185</v>
      </c>
      <c r="BB21" s="1">
        <f t="shared" ref="BB21" si="97">+BA21*1.016</f>
        <v>15943.291797134039</v>
      </c>
    </row>
    <row r="22" spans="1:154" x14ac:dyDescent="0.2">
      <c r="A22" s="1" t="s">
        <v>2</v>
      </c>
      <c r="B22" s="1">
        <f>+B20-B21</f>
        <v>1487</v>
      </c>
      <c r="C22" s="1">
        <f>+C20-C21</f>
        <v>1789</v>
      </c>
      <c r="D22" s="1">
        <f>+D20-D21</f>
        <v>1974</v>
      </c>
      <c r="E22" s="1">
        <f>+I20-E21</f>
        <v>2221</v>
      </c>
      <c r="F22" s="1">
        <f t="shared" ref="F22:P22" si="98">+F20-F21</f>
        <v>1511</v>
      </c>
      <c r="G22" s="1">
        <f t="shared" si="98"/>
        <v>1732</v>
      </c>
      <c r="H22" s="1">
        <f t="shared" si="98"/>
        <v>1730</v>
      </c>
      <c r="I22" s="1">
        <f t="shared" si="98"/>
        <v>2221</v>
      </c>
      <c r="J22" s="1">
        <f t="shared" si="98"/>
        <v>1756</v>
      </c>
      <c r="K22" s="1">
        <f t="shared" si="98"/>
        <v>1962</v>
      </c>
      <c r="L22" s="1">
        <f t="shared" si="98"/>
        <v>1933</v>
      </c>
      <c r="M22" s="1">
        <f t="shared" si="98"/>
        <v>1799</v>
      </c>
      <c r="N22" s="1">
        <f t="shared" si="98"/>
        <v>1815</v>
      </c>
      <c r="O22" s="1">
        <f t="shared" si="98"/>
        <v>1989</v>
      </c>
      <c r="P22" s="1">
        <f t="shared" si="98"/>
        <v>2006</v>
      </c>
      <c r="R22" s="15"/>
      <c r="S22" s="15"/>
      <c r="T22" s="17">
        <f t="shared" ref="T22:AC22" si="99">+T20-T21</f>
        <v>1218</v>
      </c>
      <c r="U22" s="17">
        <f t="shared" si="99"/>
        <v>2372</v>
      </c>
      <c r="V22" s="17">
        <f t="shared" si="99"/>
        <v>3517</v>
      </c>
      <c r="W22" s="1">
        <f t="shared" si="99"/>
        <v>8180</v>
      </c>
      <c r="X22" s="1">
        <f t="shared" si="99"/>
        <v>8553</v>
      </c>
      <c r="Y22" s="1">
        <f t="shared" si="99"/>
        <v>8875</v>
      </c>
      <c r="Z22" s="1">
        <f t="shared" si="99"/>
        <v>8781</v>
      </c>
      <c r="AA22" s="1">
        <f t="shared" si="99"/>
        <v>7168</v>
      </c>
      <c r="AB22" s="1">
        <f t="shared" si="99"/>
        <v>7194</v>
      </c>
      <c r="AC22" s="1">
        <f t="shared" si="99"/>
        <v>7448</v>
      </c>
      <c r="AD22" s="1">
        <f t="shared" ref="AD22:AS22" si="100">+AD20-AD21</f>
        <v>7821.5339999999997</v>
      </c>
      <c r="AE22" s="1">
        <f t="shared" si="100"/>
        <v>8208.6755239999984</v>
      </c>
      <c r="AF22" s="1">
        <f t="shared" si="100"/>
        <v>8609.8712217839966</v>
      </c>
      <c r="AG22" s="1">
        <f t="shared" si="100"/>
        <v>9025.5817574145422</v>
      </c>
      <c r="AH22" s="1">
        <f t="shared" si="100"/>
        <v>9456.2822394976338</v>
      </c>
      <c r="AI22" s="1">
        <f t="shared" si="100"/>
        <v>9902.4626645129902</v>
      </c>
      <c r="AJ22" s="1">
        <f t="shared" si="100"/>
        <v>10364.628373604093</v>
      </c>
      <c r="AK22" s="1">
        <f t="shared" si="100"/>
        <v>10843.30052323442</v>
      </c>
      <c r="AL22" s="1">
        <f t="shared" si="100"/>
        <v>11339.016570128415</v>
      </c>
      <c r="AM22" s="1">
        <f t="shared" si="100"/>
        <v>11852.330770928378</v>
      </c>
      <c r="AN22" s="1">
        <f t="shared" si="100"/>
        <v>12383.814697011479</v>
      </c>
      <c r="AO22" s="1">
        <f t="shared" si="100"/>
        <v>12934.057764924359</v>
      </c>
      <c r="AP22" s="1">
        <f t="shared" si="100"/>
        <v>13503.667782906665</v>
      </c>
      <c r="AQ22" s="1">
        <f t="shared" si="100"/>
        <v>14093.271513988992</v>
      </c>
      <c r="AR22" s="1">
        <f t="shared" si="100"/>
        <v>14703.51525616531</v>
      </c>
      <c r="AS22" s="1">
        <f t="shared" si="100"/>
        <v>15335.065440155027</v>
      </c>
      <c r="AT22" s="1">
        <f t="shared" ref="AT22:AX22" si="101">+AT20-AT21</f>
        <v>15988.609245285312</v>
      </c>
      <c r="AU22" s="1">
        <f t="shared" si="101"/>
        <v>16664.855234040311</v>
      </c>
      <c r="AV22" s="1">
        <f t="shared" si="101"/>
        <v>17364.534005840309</v>
      </c>
      <c r="AW22" s="1">
        <f t="shared" si="101"/>
        <v>18088.398870630765</v>
      </c>
      <c r="AX22" s="1">
        <f t="shared" si="101"/>
        <v>18837.22654287878</v>
      </c>
      <c r="AY22" s="1">
        <f t="shared" ref="AY22:BB22" si="102">+AY20-AY21</f>
        <v>19611.817856592301</v>
      </c>
      <c r="AZ22" s="1">
        <f t="shared" si="102"/>
        <v>20412.998501996059</v>
      </c>
      <c r="BA22" s="1">
        <f t="shared" si="102"/>
        <v>21241.619784517228</v>
      </c>
      <c r="BB22" s="1">
        <f t="shared" si="102"/>
        <v>22098.559406753408</v>
      </c>
    </row>
    <row r="23" spans="1:154" x14ac:dyDescent="0.2">
      <c r="A23" s="1" t="s">
        <v>40</v>
      </c>
      <c r="B23" s="1">
        <v>986</v>
      </c>
      <c r="C23" s="1">
        <v>1056</v>
      </c>
      <c r="D23" s="1">
        <v>1041</v>
      </c>
      <c r="E23" s="1">
        <v>1283</v>
      </c>
      <c r="F23" s="1">
        <v>1064</v>
      </c>
      <c r="G23" s="1">
        <v>1115</v>
      </c>
      <c r="H23" s="1">
        <v>1154</v>
      </c>
      <c r="I23" s="1">
        <v>1283</v>
      </c>
      <c r="J23" s="1">
        <v>1079</v>
      </c>
      <c r="K23" s="1">
        <v>1112</v>
      </c>
      <c r="L23" s="1">
        <v>1114</v>
      </c>
      <c r="M23" s="1">
        <v>1220</v>
      </c>
      <c r="N23" s="1">
        <v>1096</v>
      </c>
      <c r="O23" s="1">
        <v>1127</v>
      </c>
      <c r="P23" s="1">
        <v>1075</v>
      </c>
      <c r="R23" s="15">
        <f>(AC23/W23)^(1/7)-1</f>
        <v>4.0433905523755698E-3</v>
      </c>
      <c r="S23" s="15"/>
      <c r="T23" s="17">
        <v>5124</v>
      </c>
      <c r="U23" s="17">
        <v>5815</v>
      </c>
      <c r="V23" s="17">
        <v>5888</v>
      </c>
      <c r="W23" s="1">
        <v>4398</v>
      </c>
      <c r="X23" s="1">
        <v>4500</v>
      </c>
      <c r="Y23" s="1">
        <v>4682</v>
      </c>
      <c r="Z23" s="1">
        <v>4606</v>
      </c>
      <c r="AA23" s="1">
        <v>4258</v>
      </c>
      <c r="AB23" s="1">
        <v>4621</v>
      </c>
      <c r="AC23" s="1">
        <v>4524</v>
      </c>
      <c r="AD23" s="1">
        <f>+AC23*1.004</f>
        <v>4542.0960000000005</v>
      </c>
      <c r="AE23" s="1">
        <f t="shared" ref="AE23:AS23" si="103">+AD23*1.004</f>
        <v>4560.2643840000001</v>
      </c>
      <c r="AF23" s="1">
        <f t="shared" si="103"/>
        <v>4578.505441536</v>
      </c>
      <c r="AG23" s="1">
        <f t="shared" si="103"/>
        <v>4596.819463302144</v>
      </c>
      <c r="AH23" s="1">
        <f t="shared" si="103"/>
        <v>4615.2067411553526</v>
      </c>
      <c r="AI23" s="1">
        <f t="shared" si="103"/>
        <v>4633.667568119974</v>
      </c>
      <c r="AJ23" s="1">
        <f t="shared" si="103"/>
        <v>4652.2022383924541</v>
      </c>
      <c r="AK23" s="1">
        <f t="shared" si="103"/>
        <v>4670.8110473460238</v>
      </c>
      <c r="AL23" s="1">
        <f t="shared" si="103"/>
        <v>4689.4942915354077</v>
      </c>
      <c r="AM23" s="1">
        <f t="shared" si="103"/>
        <v>4708.2522687015489</v>
      </c>
      <c r="AN23" s="1">
        <f t="shared" si="103"/>
        <v>4727.0852777763548</v>
      </c>
      <c r="AO23" s="1">
        <f t="shared" si="103"/>
        <v>4745.9936188874599</v>
      </c>
      <c r="AP23" s="1">
        <f t="shared" si="103"/>
        <v>4764.9775933630099</v>
      </c>
      <c r="AQ23" s="1">
        <f t="shared" si="103"/>
        <v>4784.037503736462</v>
      </c>
      <c r="AR23" s="1">
        <f t="shared" si="103"/>
        <v>4803.173653751408</v>
      </c>
      <c r="AS23" s="1">
        <f t="shared" si="103"/>
        <v>4822.3863483664136</v>
      </c>
      <c r="AT23" s="1">
        <f t="shared" ref="AT23" si="104">+AS23*1.004</f>
        <v>4841.6758937598788</v>
      </c>
      <c r="AU23" s="1">
        <f t="shared" ref="AU23" si="105">+AT23*1.004</f>
        <v>4861.0425973349184</v>
      </c>
      <c r="AV23" s="1">
        <f t="shared" ref="AV23" si="106">+AU23*1.004</f>
        <v>4880.4867677242582</v>
      </c>
      <c r="AW23" s="1">
        <f t="shared" ref="AW23" si="107">+AV23*1.004</f>
        <v>4900.0087147951554</v>
      </c>
      <c r="AX23" s="1">
        <f t="shared" ref="AX23" si="108">+AW23*1.004</f>
        <v>4919.608749654336</v>
      </c>
      <c r="AY23" s="1">
        <f t="shared" ref="AY23" si="109">+AX23*1.004</f>
        <v>4939.2871846529533</v>
      </c>
      <c r="AZ23" s="1">
        <f t="shared" ref="AZ23" si="110">+AY23*1.004</f>
        <v>4959.0443333915655</v>
      </c>
      <c r="BA23" s="1">
        <f t="shared" ref="BA23" si="111">+AZ23*1.004</f>
        <v>4978.8805107251319</v>
      </c>
      <c r="BB23" s="1">
        <f t="shared" ref="BB23" si="112">+BA23*1.004</f>
        <v>4998.7960327680321</v>
      </c>
    </row>
    <row r="24" spans="1:154" x14ac:dyDescent="0.2">
      <c r="A24" s="1" t="s">
        <v>41</v>
      </c>
      <c r="B24" s="1">
        <v>173</v>
      </c>
      <c r="C24" s="1">
        <v>138</v>
      </c>
      <c r="D24" s="1">
        <v>164</v>
      </c>
      <c r="E24" s="1">
        <v>195</v>
      </c>
      <c r="F24" s="1">
        <v>155</v>
      </c>
      <c r="G24" s="1">
        <v>146</v>
      </c>
      <c r="H24" s="1">
        <v>175</v>
      </c>
      <c r="I24" s="1">
        <v>195</v>
      </c>
      <c r="J24" s="1">
        <v>158</v>
      </c>
      <c r="K24" s="1">
        <v>157</v>
      </c>
      <c r="L24" s="1">
        <v>150</v>
      </c>
      <c r="M24" s="1">
        <v>143</v>
      </c>
      <c r="N24" s="1">
        <v>136</v>
      </c>
      <c r="O24" s="1">
        <v>158</v>
      </c>
      <c r="P24" s="1">
        <v>151</v>
      </c>
      <c r="R24" s="15">
        <f>(AC24/W24)^(1/7)-1</f>
        <v>7.5041036403664663E-3</v>
      </c>
      <c r="S24" s="15"/>
      <c r="T24" s="20">
        <v>747</v>
      </c>
      <c r="U24" s="20">
        <v>1209</v>
      </c>
      <c r="V24" s="20">
        <v>845</v>
      </c>
      <c r="W24" s="1">
        <v>577</v>
      </c>
      <c r="X24" s="1">
        <v>631</v>
      </c>
      <c r="Y24" s="1">
        <v>631</v>
      </c>
      <c r="Z24" s="1">
        <v>668</v>
      </c>
      <c r="AA24" s="1">
        <v>599</v>
      </c>
      <c r="AB24" s="1">
        <v>671</v>
      </c>
      <c r="AC24" s="1">
        <v>608</v>
      </c>
      <c r="AD24" s="1">
        <f>+AC24*1.008</f>
        <v>612.86400000000003</v>
      </c>
      <c r="AE24" s="1">
        <f t="shared" ref="AE24:AS24" si="113">+AD24*1.008</f>
        <v>617.76691200000005</v>
      </c>
      <c r="AF24" s="1">
        <f t="shared" si="113"/>
        <v>622.70904729600011</v>
      </c>
      <c r="AG24" s="1">
        <f t="shared" si="113"/>
        <v>627.6907196743681</v>
      </c>
      <c r="AH24" s="1">
        <f t="shared" si="113"/>
        <v>632.71224543176299</v>
      </c>
      <c r="AI24" s="1">
        <f t="shared" si="113"/>
        <v>637.77394339521709</v>
      </c>
      <c r="AJ24" s="1">
        <f t="shared" si="113"/>
        <v>642.87613494237883</v>
      </c>
      <c r="AK24" s="1">
        <f t="shared" si="113"/>
        <v>648.0191440219179</v>
      </c>
      <c r="AL24" s="1">
        <f t="shared" si="113"/>
        <v>653.20329717409322</v>
      </c>
      <c r="AM24" s="1">
        <f t="shared" si="113"/>
        <v>658.42892355148592</v>
      </c>
      <c r="AN24" s="1">
        <f t="shared" si="113"/>
        <v>663.69635493989779</v>
      </c>
      <c r="AO24" s="1">
        <f t="shared" si="113"/>
        <v>669.005925779417</v>
      </c>
      <c r="AP24" s="1">
        <f t="shared" si="113"/>
        <v>674.35797318565233</v>
      </c>
      <c r="AQ24" s="1">
        <f t="shared" si="113"/>
        <v>679.75283697113753</v>
      </c>
      <c r="AR24" s="1">
        <f t="shared" si="113"/>
        <v>685.19085966690659</v>
      </c>
      <c r="AS24" s="1">
        <f t="shared" si="113"/>
        <v>690.67238654424182</v>
      </c>
      <c r="AT24" s="1">
        <f t="shared" ref="AT24" si="114">+AS24*1.008</f>
        <v>696.1977656365957</v>
      </c>
      <c r="AU24" s="1">
        <f t="shared" ref="AU24" si="115">+AT24*1.008</f>
        <v>701.76734776168848</v>
      </c>
      <c r="AV24" s="1">
        <f t="shared" ref="AV24" si="116">+AU24*1.008</f>
        <v>707.38148654378199</v>
      </c>
      <c r="AW24" s="1">
        <f t="shared" ref="AW24" si="117">+AV24*1.008</f>
        <v>713.04053843613224</v>
      </c>
      <c r="AX24" s="1">
        <f t="shared" ref="AX24" si="118">+AW24*1.008</f>
        <v>718.7448627436213</v>
      </c>
      <c r="AY24" s="1">
        <f t="shared" ref="AY24" si="119">+AX24*1.008</f>
        <v>724.49482164557025</v>
      </c>
      <c r="AZ24" s="1">
        <f t="shared" ref="AZ24" si="120">+AY24*1.008</f>
        <v>730.29078021873477</v>
      </c>
      <c r="BA24" s="1">
        <f t="shared" ref="BA24" si="121">+AZ24*1.008</f>
        <v>736.13310646048467</v>
      </c>
      <c r="BB24" s="1">
        <f t="shared" ref="BB24" si="122">+BA24*1.008</f>
        <v>742.02217131216855</v>
      </c>
    </row>
    <row r="25" spans="1:154" x14ac:dyDescent="0.2">
      <c r="A25" s="1" t="s">
        <v>3</v>
      </c>
      <c r="B25" s="1">
        <v>424</v>
      </c>
      <c r="C25" s="1">
        <v>470</v>
      </c>
      <c r="D25" s="1">
        <v>437</v>
      </c>
      <c r="E25" s="1">
        <v>501</v>
      </c>
      <c r="F25" s="1">
        <v>495</v>
      </c>
      <c r="G25" s="1">
        <v>486</v>
      </c>
      <c r="H25" s="1">
        <v>615</v>
      </c>
      <c r="I25" s="1">
        <v>501</v>
      </c>
      <c r="J25" s="1">
        <v>528</v>
      </c>
      <c r="K25" s="1">
        <v>468</v>
      </c>
      <c r="L25" s="1">
        <v>445</v>
      </c>
      <c r="M25" s="1">
        <v>449</v>
      </c>
      <c r="N25" s="1">
        <v>419</v>
      </c>
      <c r="O25" s="1">
        <v>424</v>
      </c>
      <c r="P25" s="1">
        <v>433</v>
      </c>
      <c r="R25" s="15">
        <f>(AC25/T25)^(1/10)-1</f>
        <v>4.3977147495521507E-2</v>
      </c>
      <c r="S25" s="15"/>
      <c r="T25" s="1">
        <f>332+455+289+153</f>
        <v>1229</v>
      </c>
      <c r="U25" s="1">
        <f>383+596+386+189</f>
        <v>1554</v>
      </c>
      <c r="V25" s="1">
        <f>412+629+388+219</f>
        <v>1648</v>
      </c>
      <c r="W25" s="1">
        <v>1764</v>
      </c>
      <c r="X25" s="1">
        <v>1759</v>
      </c>
      <c r="Y25" s="1">
        <v>1884</v>
      </c>
      <c r="Z25" s="1">
        <v>1915</v>
      </c>
      <c r="AA25" s="1">
        <v>1806</v>
      </c>
      <c r="AB25" s="1">
        <v>2091</v>
      </c>
      <c r="AC25" s="1">
        <v>1890</v>
      </c>
      <c r="AD25" s="1">
        <f>+AC25*1.044</f>
        <v>1973.16</v>
      </c>
      <c r="AE25" s="1">
        <f t="shared" ref="AE25:AS25" si="123">+AD25*1.044</f>
        <v>2059.9790400000002</v>
      </c>
      <c r="AF25" s="1">
        <f t="shared" si="123"/>
        <v>2150.6181177600001</v>
      </c>
      <c r="AG25" s="1">
        <f t="shared" si="123"/>
        <v>2245.24531494144</v>
      </c>
      <c r="AH25" s="1">
        <f t="shared" si="123"/>
        <v>2344.0361087988636</v>
      </c>
      <c r="AI25" s="1">
        <f t="shared" si="123"/>
        <v>2447.1736975860135</v>
      </c>
      <c r="AJ25" s="1">
        <f t="shared" si="123"/>
        <v>2554.8493402797981</v>
      </c>
      <c r="AK25" s="1">
        <f t="shared" si="123"/>
        <v>2667.2627112521095</v>
      </c>
      <c r="AL25" s="1">
        <f t="shared" si="123"/>
        <v>2784.6222705472023</v>
      </c>
      <c r="AM25" s="1">
        <f t="shared" si="123"/>
        <v>2907.1456504512794</v>
      </c>
      <c r="AN25" s="1">
        <f t="shared" si="123"/>
        <v>3035.0600590711356</v>
      </c>
      <c r="AO25" s="1">
        <f t="shared" si="123"/>
        <v>3168.6027016702656</v>
      </c>
      <c r="AP25" s="1">
        <f t="shared" si="123"/>
        <v>3308.0212205437574</v>
      </c>
      <c r="AQ25" s="1">
        <f t="shared" si="123"/>
        <v>3453.5741542476831</v>
      </c>
      <c r="AR25" s="1">
        <f t="shared" si="123"/>
        <v>3605.5314170345814</v>
      </c>
      <c r="AS25" s="1">
        <f t="shared" si="123"/>
        <v>3764.1747993841032</v>
      </c>
      <c r="AT25" s="1">
        <f t="shared" ref="AT25" si="124">+AS25*1.044</f>
        <v>3929.7984905570038</v>
      </c>
      <c r="AU25" s="1">
        <f t="shared" ref="AU25" si="125">+AT25*1.044</f>
        <v>4102.709624141512</v>
      </c>
      <c r="AV25" s="1">
        <f t="shared" ref="AV25" si="126">+AU25*1.044</f>
        <v>4283.2288476037384</v>
      </c>
      <c r="AW25" s="1">
        <f t="shared" ref="AW25" si="127">+AV25*1.044</f>
        <v>4471.6909168983029</v>
      </c>
      <c r="AX25" s="1">
        <f t="shared" ref="AX25" si="128">+AW25*1.044</f>
        <v>4668.4453172418289</v>
      </c>
      <c r="AY25" s="1">
        <f t="shared" ref="AY25" si="129">+AX25*1.044</f>
        <v>4873.8569112004698</v>
      </c>
      <c r="AZ25" s="1">
        <f t="shared" ref="AZ25" si="130">+AY25*1.044</f>
        <v>5088.3066152932906</v>
      </c>
      <c r="BA25" s="1">
        <f t="shared" ref="BA25" si="131">+AZ25*1.044</f>
        <v>5312.1921063661957</v>
      </c>
      <c r="BB25" s="1">
        <f t="shared" ref="BB25" si="132">+BA25*1.044</f>
        <v>5545.9285590463087</v>
      </c>
    </row>
    <row r="26" spans="1:154" x14ac:dyDescent="0.2">
      <c r="A26" s="1" t="s">
        <v>4</v>
      </c>
      <c r="B26" s="1">
        <f t="shared" ref="B26:P26" si="133">+SUM(B23:B25)</f>
        <v>1583</v>
      </c>
      <c r="C26" s="1">
        <f t="shared" si="133"/>
        <v>1664</v>
      </c>
      <c r="D26" s="1">
        <f t="shared" si="133"/>
        <v>1642</v>
      </c>
      <c r="E26" s="1">
        <f t="shared" si="133"/>
        <v>1979</v>
      </c>
      <c r="F26" s="1">
        <f t="shared" si="133"/>
        <v>1714</v>
      </c>
      <c r="G26" s="1">
        <f t="shared" si="133"/>
        <v>1747</v>
      </c>
      <c r="H26" s="1">
        <f t="shared" si="133"/>
        <v>1944</v>
      </c>
      <c r="I26" s="1">
        <f t="shared" si="133"/>
        <v>1979</v>
      </c>
      <c r="J26" s="1">
        <f t="shared" si="133"/>
        <v>1765</v>
      </c>
      <c r="K26" s="1">
        <f t="shared" si="133"/>
        <v>1737</v>
      </c>
      <c r="L26" s="1">
        <f t="shared" si="133"/>
        <v>1709</v>
      </c>
      <c r="M26" s="1">
        <f t="shared" si="133"/>
        <v>1812</v>
      </c>
      <c r="N26" s="1">
        <f t="shared" si="133"/>
        <v>1651</v>
      </c>
      <c r="O26" s="1">
        <f t="shared" si="133"/>
        <v>1709</v>
      </c>
      <c r="P26" s="1">
        <f t="shared" si="133"/>
        <v>1659</v>
      </c>
      <c r="T26" s="21">
        <f t="shared" ref="T26:AC26" si="134">+SUM(T23:T25)</f>
        <v>7100</v>
      </c>
      <c r="U26" s="21">
        <f t="shared" si="134"/>
        <v>8578</v>
      </c>
      <c r="V26" s="21">
        <f t="shared" si="134"/>
        <v>8381</v>
      </c>
      <c r="W26" s="1">
        <f t="shared" si="134"/>
        <v>6739</v>
      </c>
      <c r="X26" s="1">
        <f t="shared" si="134"/>
        <v>6890</v>
      </c>
      <c r="Y26" s="1">
        <f t="shared" si="134"/>
        <v>7197</v>
      </c>
      <c r="Z26" s="1">
        <f t="shared" si="134"/>
        <v>7189</v>
      </c>
      <c r="AA26" s="1">
        <f t="shared" si="134"/>
        <v>6663</v>
      </c>
      <c r="AB26" s="1">
        <f t="shared" si="134"/>
        <v>7383</v>
      </c>
      <c r="AC26" s="1">
        <f t="shared" si="134"/>
        <v>7022</v>
      </c>
      <c r="AD26" s="1">
        <f t="shared" ref="AD26:AS26" si="135">+SUM(AD23:AD25)</f>
        <v>7128.1200000000008</v>
      </c>
      <c r="AE26" s="1">
        <f t="shared" si="135"/>
        <v>7238.0103360000003</v>
      </c>
      <c r="AF26" s="1">
        <f t="shared" si="135"/>
        <v>7351.832606592</v>
      </c>
      <c r="AG26" s="1">
        <f t="shared" si="135"/>
        <v>7469.7554979179513</v>
      </c>
      <c r="AH26" s="1">
        <f t="shared" si="135"/>
        <v>7591.9550953859798</v>
      </c>
      <c r="AI26" s="1">
        <f t="shared" si="135"/>
        <v>7718.6152091012045</v>
      </c>
      <c r="AJ26" s="1">
        <f t="shared" si="135"/>
        <v>7849.9277136146302</v>
      </c>
      <c r="AK26" s="1">
        <f t="shared" si="135"/>
        <v>7986.0929026200511</v>
      </c>
      <c r="AL26" s="1">
        <f t="shared" si="135"/>
        <v>8127.3198592567041</v>
      </c>
      <c r="AM26" s="1">
        <f t="shared" si="135"/>
        <v>8273.8268427043149</v>
      </c>
      <c r="AN26" s="1">
        <f t="shared" si="135"/>
        <v>8425.8416917873874</v>
      </c>
      <c r="AO26" s="1">
        <f t="shared" si="135"/>
        <v>8583.6022463371428</v>
      </c>
      <c r="AP26" s="1">
        <f t="shared" si="135"/>
        <v>8747.3567870924198</v>
      </c>
      <c r="AQ26" s="1">
        <f t="shared" si="135"/>
        <v>8917.3644949552818</v>
      </c>
      <c r="AR26" s="1">
        <f t="shared" si="135"/>
        <v>9093.8959304528962</v>
      </c>
      <c r="AS26" s="1">
        <f t="shared" si="135"/>
        <v>9277.233534294759</v>
      </c>
      <c r="AT26" s="1">
        <f t="shared" ref="AT26:AX26" si="136">+SUM(AT23:AT25)</f>
        <v>9467.6721499534797</v>
      </c>
      <c r="AU26" s="1">
        <f t="shared" si="136"/>
        <v>9665.5195692381185</v>
      </c>
      <c r="AV26" s="1">
        <f t="shared" si="136"/>
        <v>9871.0971018717792</v>
      </c>
      <c r="AW26" s="1">
        <f t="shared" si="136"/>
        <v>10084.740170129589</v>
      </c>
      <c r="AX26" s="1">
        <f t="shared" si="136"/>
        <v>10306.798929639786</v>
      </c>
      <c r="AY26" s="1">
        <f t="shared" ref="AY26:BB26" si="137">+SUM(AY23:AY25)</f>
        <v>10537.638917498993</v>
      </c>
      <c r="AZ26" s="1">
        <f t="shared" si="137"/>
        <v>10777.641728903591</v>
      </c>
      <c r="BA26" s="1">
        <f t="shared" si="137"/>
        <v>11027.205723551811</v>
      </c>
      <c r="BB26" s="1">
        <f t="shared" si="137"/>
        <v>11286.74676312651</v>
      </c>
    </row>
    <row r="27" spans="1:154" x14ac:dyDescent="0.2">
      <c r="A27" s="1" t="s">
        <v>5</v>
      </c>
      <c r="B27" s="1">
        <f t="shared" ref="B27:P27" si="138">+B22-B26</f>
        <v>-96</v>
      </c>
      <c r="C27" s="1">
        <f t="shared" si="138"/>
        <v>125</v>
      </c>
      <c r="D27" s="1">
        <f t="shared" si="138"/>
        <v>332</v>
      </c>
      <c r="E27" s="1">
        <f t="shared" si="138"/>
        <v>242</v>
      </c>
      <c r="F27" s="1">
        <f t="shared" si="138"/>
        <v>-203</v>
      </c>
      <c r="G27" s="1">
        <f t="shared" si="138"/>
        <v>-15</v>
      </c>
      <c r="H27" s="1">
        <f t="shared" si="138"/>
        <v>-214</v>
      </c>
      <c r="I27" s="1">
        <f t="shared" si="138"/>
        <v>242</v>
      </c>
      <c r="J27" s="1">
        <f t="shared" si="138"/>
        <v>-9</v>
      </c>
      <c r="K27" s="1">
        <f t="shared" si="138"/>
        <v>225</v>
      </c>
      <c r="L27" s="1">
        <f t="shared" si="138"/>
        <v>224</v>
      </c>
      <c r="M27" s="1">
        <f t="shared" si="138"/>
        <v>-13</v>
      </c>
      <c r="N27" s="1">
        <f t="shared" si="138"/>
        <v>164</v>
      </c>
      <c r="O27" s="1">
        <f t="shared" si="138"/>
        <v>280</v>
      </c>
      <c r="P27" s="1">
        <f t="shared" si="138"/>
        <v>347</v>
      </c>
      <c r="T27" s="17">
        <f t="shared" ref="T27:AC27" si="139">+T22-T26</f>
        <v>-5882</v>
      </c>
      <c r="U27" s="17">
        <f t="shared" si="139"/>
        <v>-6206</v>
      </c>
      <c r="V27" s="17">
        <f t="shared" si="139"/>
        <v>-4864</v>
      </c>
      <c r="W27" s="1">
        <f t="shared" si="139"/>
        <v>1441</v>
      </c>
      <c r="X27" s="1">
        <f t="shared" si="139"/>
        <v>1663</v>
      </c>
      <c r="Y27" s="1">
        <f t="shared" si="139"/>
        <v>1678</v>
      </c>
      <c r="Z27" s="1">
        <f t="shared" si="139"/>
        <v>1592</v>
      </c>
      <c r="AA27" s="1">
        <f t="shared" si="139"/>
        <v>505</v>
      </c>
      <c r="AB27" s="1">
        <f t="shared" si="139"/>
        <v>-189</v>
      </c>
      <c r="AC27" s="1">
        <f t="shared" si="139"/>
        <v>426</v>
      </c>
      <c r="AD27" s="1">
        <f t="shared" ref="AD27:AS27" si="140">+AD22-AD26</f>
        <v>693.41399999999885</v>
      </c>
      <c r="AE27" s="1">
        <f t="shared" si="140"/>
        <v>970.66518799999812</v>
      </c>
      <c r="AF27" s="1">
        <f t="shared" si="140"/>
        <v>1258.0386151919965</v>
      </c>
      <c r="AG27" s="1">
        <f t="shared" si="140"/>
        <v>1555.8262594965909</v>
      </c>
      <c r="AH27" s="1">
        <f t="shared" si="140"/>
        <v>1864.327144111654</v>
      </c>
      <c r="AI27" s="1">
        <f t="shared" si="140"/>
        <v>2183.8474554117856</v>
      </c>
      <c r="AJ27" s="1">
        <f t="shared" si="140"/>
        <v>2514.700659989463</v>
      </c>
      <c r="AK27" s="1">
        <f t="shared" si="140"/>
        <v>2857.2076206143693</v>
      </c>
      <c r="AL27" s="1">
        <f t="shared" si="140"/>
        <v>3211.6967108717108</v>
      </c>
      <c r="AM27" s="1">
        <f t="shared" si="140"/>
        <v>3578.5039282240632</v>
      </c>
      <c r="AN27" s="1">
        <f t="shared" si="140"/>
        <v>3957.973005224092</v>
      </c>
      <c r="AO27" s="1">
        <f t="shared" si="140"/>
        <v>4350.4555185872159</v>
      </c>
      <c r="AP27" s="1">
        <f t="shared" si="140"/>
        <v>4756.310995814245</v>
      </c>
      <c r="AQ27" s="1">
        <f t="shared" si="140"/>
        <v>5175.9070190337097</v>
      </c>
      <c r="AR27" s="1">
        <f t="shared" si="140"/>
        <v>5609.6193257124141</v>
      </c>
      <c r="AS27" s="1">
        <f t="shared" si="140"/>
        <v>6057.8319058602683</v>
      </c>
      <c r="AT27" s="1">
        <f t="shared" ref="AT27:AX27" si="141">+AT22-AT26</f>
        <v>6520.9370953318321</v>
      </c>
      <c r="AU27" s="1">
        <f t="shared" si="141"/>
        <v>6999.3356648021927</v>
      </c>
      <c r="AV27" s="1">
        <f t="shared" si="141"/>
        <v>7493.4369039685298</v>
      </c>
      <c r="AW27" s="1">
        <f t="shared" si="141"/>
        <v>8003.6587005011752</v>
      </c>
      <c r="AX27" s="1">
        <f t="shared" si="141"/>
        <v>8530.4276132389932</v>
      </c>
      <c r="AY27" s="1">
        <f t="shared" ref="AY27:BB27" si="142">+AY22-AY26</f>
        <v>9074.1789390933081</v>
      </c>
      <c r="AZ27" s="1">
        <f t="shared" si="142"/>
        <v>9635.3567730924678</v>
      </c>
      <c r="BA27" s="1">
        <f t="shared" si="142"/>
        <v>10214.414060965417</v>
      </c>
      <c r="BB27" s="1">
        <f t="shared" si="142"/>
        <v>10811.812643626898</v>
      </c>
    </row>
    <row r="28" spans="1:154" x14ac:dyDescent="0.2">
      <c r="A28" s="1" t="s">
        <v>6</v>
      </c>
      <c r="B28" s="1">
        <f>36-42</f>
        <v>-6</v>
      </c>
      <c r="C28" s="1">
        <f>39-46</f>
        <v>-7</v>
      </c>
      <c r="D28" s="1">
        <f>38-43</f>
        <v>-5</v>
      </c>
      <c r="E28" s="1">
        <f>14-92</f>
        <v>-78</v>
      </c>
      <c r="F28" s="1">
        <f>17-44</f>
        <v>-27</v>
      </c>
      <c r="G28" s="1">
        <f>20-68</f>
        <v>-48</v>
      </c>
      <c r="H28" s="1">
        <f>23-69</f>
        <v>-46</v>
      </c>
      <c r="I28" s="1">
        <f>14-92</f>
        <v>-78</v>
      </c>
      <c r="J28" s="1">
        <f>14-93</f>
        <v>-79</v>
      </c>
      <c r="K28" s="1">
        <f>16-84</f>
        <v>-68</v>
      </c>
      <c r="L28" s="1">
        <f>15-91</f>
        <v>-76</v>
      </c>
      <c r="M28" s="1">
        <f>17-109</f>
        <v>-92</v>
      </c>
      <c r="N28" s="1">
        <f>24-94</f>
        <v>-70</v>
      </c>
      <c r="O28" s="1">
        <f>20-88</f>
        <v>-68</v>
      </c>
      <c r="P28" s="1">
        <f>34-104</f>
        <v>-70</v>
      </c>
      <c r="T28" s="17">
        <f>114-415</f>
        <v>-301</v>
      </c>
      <c r="U28" s="17">
        <f>98-467</f>
        <v>-369</v>
      </c>
      <c r="V28" s="17">
        <f>76-569</f>
        <v>-493</v>
      </c>
      <c r="W28" s="1">
        <f>126-263</f>
        <v>-137</v>
      </c>
      <c r="X28" s="1">
        <f>51-264</f>
        <v>-213</v>
      </c>
      <c r="Y28" s="1">
        <f>117-233</f>
        <v>-116</v>
      </c>
      <c r="Z28" s="1">
        <f>160-204</f>
        <v>-44</v>
      </c>
      <c r="AA28" s="1">
        <f>149-188</f>
        <v>-39</v>
      </c>
      <c r="AB28" s="1">
        <f>58-258</f>
        <v>-200</v>
      </c>
      <c r="AC28" s="1">
        <f>63-376</f>
        <v>-313</v>
      </c>
      <c r="AD28" s="1">
        <f>+AC42*0.05</f>
        <v>-326</v>
      </c>
      <c r="AE28" s="1">
        <f t="shared" ref="AE28:AS28" si="143">+AD42*0.05</f>
        <v>-311.30344000000008</v>
      </c>
      <c r="AF28" s="1">
        <f t="shared" si="143"/>
        <v>-284.92897008000017</v>
      </c>
      <c r="AG28" s="1">
        <f t="shared" si="143"/>
        <v>-246.0045842755203</v>
      </c>
      <c r="AH28" s="1">
        <f t="shared" si="143"/>
        <v>-193.61171726667749</v>
      </c>
      <c r="AI28" s="1">
        <f t="shared" si="143"/>
        <v>-126.78310019287842</v>
      </c>
      <c r="AJ28" s="1">
        <f t="shared" si="143"/>
        <v>-44.500525984122135</v>
      </c>
      <c r="AK28" s="1">
        <f t="shared" si="143"/>
        <v>54.3074793760915</v>
      </c>
      <c r="AL28" s="1">
        <f t="shared" si="143"/>
        <v>170.76808337570992</v>
      </c>
      <c r="AM28" s="1">
        <f t="shared" si="143"/>
        <v>306.06667514560678</v>
      </c>
      <c r="AN28" s="1">
        <f t="shared" si="143"/>
        <v>461.44949928039364</v>
      </c>
      <c r="AO28" s="1">
        <f t="shared" si="143"/>
        <v>638.22639946057302</v>
      </c>
      <c r="AP28" s="1">
        <f t="shared" si="143"/>
        <v>837.77367618248445</v>
      </c>
      <c r="AQ28" s="1">
        <f t="shared" si="143"/>
        <v>1078.2925365860035</v>
      </c>
      <c r="AR28" s="1">
        <f t="shared" si="143"/>
        <v>1350.0263695425122</v>
      </c>
      <c r="AS28" s="1">
        <f t="shared" si="143"/>
        <v>1655.4127247435595</v>
      </c>
      <c r="AT28" s="1">
        <f t="shared" ref="AT28" si="144">+AS42*0.05</f>
        <v>1997.0507644625841</v>
      </c>
      <c r="AU28" s="1">
        <f t="shared" ref="AU28" si="145">+AT42*0.05</f>
        <v>0</v>
      </c>
      <c r="AV28" s="1">
        <f t="shared" ref="AV28" si="146">+AU42*0.05</f>
        <v>0</v>
      </c>
      <c r="AW28" s="1">
        <f t="shared" ref="AW28" si="147">+AV42*0.05</f>
        <v>0</v>
      </c>
      <c r="AX28" s="1">
        <f t="shared" ref="AX28" si="148">+AW42*0.05</f>
        <v>0</v>
      </c>
      <c r="AY28" s="1">
        <f t="shared" ref="AY28" si="149">+AX42*0.05</f>
        <v>0</v>
      </c>
      <c r="AZ28" s="1">
        <f t="shared" ref="AZ28" si="150">+AY42*0.05</f>
        <v>0</v>
      </c>
      <c r="BA28" s="1">
        <f t="shared" ref="BA28" si="151">+AZ42*0.05</f>
        <v>0</v>
      </c>
      <c r="BB28" s="1">
        <f t="shared" ref="BB28" si="152">+BA42*0.05</f>
        <v>0</v>
      </c>
    </row>
    <row r="29" spans="1:154" x14ac:dyDescent="0.2">
      <c r="A29" s="1" t="s">
        <v>7</v>
      </c>
      <c r="B29" s="1">
        <f t="shared" ref="B29:P29" si="153">+B27+B28</f>
        <v>-102</v>
      </c>
      <c r="C29" s="1">
        <f t="shared" si="153"/>
        <v>118</v>
      </c>
      <c r="D29" s="1">
        <f t="shared" si="153"/>
        <v>327</v>
      </c>
      <c r="E29" s="1">
        <f t="shared" si="153"/>
        <v>164</v>
      </c>
      <c r="F29" s="1">
        <f t="shared" si="153"/>
        <v>-230</v>
      </c>
      <c r="G29" s="1">
        <f t="shared" si="153"/>
        <v>-63</v>
      </c>
      <c r="H29" s="1">
        <f t="shared" si="153"/>
        <v>-260</v>
      </c>
      <c r="I29" s="1">
        <f t="shared" si="153"/>
        <v>164</v>
      </c>
      <c r="J29" s="1">
        <f t="shared" si="153"/>
        <v>-88</v>
      </c>
      <c r="K29" s="1">
        <f t="shared" si="153"/>
        <v>157</v>
      </c>
      <c r="L29" s="1">
        <f t="shared" si="153"/>
        <v>148</v>
      </c>
      <c r="M29" s="1">
        <f t="shared" si="153"/>
        <v>-105</v>
      </c>
      <c r="N29" s="1">
        <f t="shared" si="153"/>
        <v>94</v>
      </c>
      <c r="O29" s="1">
        <f t="shared" si="153"/>
        <v>212</v>
      </c>
      <c r="P29" s="1">
        <f t="shared" si="153"/>
        <v>277</v>
      </c>
      <c r="T29" s="17">
        <f t="shared" ref="T29:AC29" si="154">+T27+T28</f>
        <v>-6183</v>
      </c>
      <c r="U29" s="17">
        <f t="shared" si="154"/>
        <v>-6575</v>
      </c>
      <c r="V29" s="17">
        <f t="shared" si="154"/>
        <v>-5357</v>
      </c>
      <c r="W29" s="1">
        <f t="shared" si="154"/>
        <v>1304</v>
      </c>
      <c r="X29" s="1">
        <f t="shared" si="154"/>
        <v>1450</v>
      </c>
      <c r="Y29" s="1">
        <f t="shared" si="154"/>
        <v>1562</v>
      </c>
      <c r="Z29" s="1">
        <f t="shared" si="154"/>
        <v>1548</v>
      </c>
      <c r="AA29" s="1">
        <f t="shared" si="154"/>
        <v>466</v>
      </c>
      <c r="AB29" s="1">
        <f t="shared" si="154"/>
        <v>-389</v>
      </c>
      <c r="AC29" s="1">
        <f t="shared" si="154"/>
        <v>113</v>
      </c>
      <c r="AD29" s="1">
        <f t="shared" ref="AD29:AS29" si="155">+AD27+AD28</f>
        <v>367.41399999999885</v>
      </c>
      <c r="AE29" s="1">
        <f t="shared" si="155"/>
        <v>659.36174799999799</v>
      </c>
      <c r="AF29" s="1">
        <f t="shared" si="155"/>
        <v>973.10964511199631</v>
      </c>
      <c r="AG29" s="1">
        <f t="shared" si="155"/>
        <v>1309.8216752210706</v>
      </c>
      <c r="AH29" s="1">
        <f t="shared" si="155"/>
        <v>1670.7154268449765</v>
      </c>
      <c r="AI29" s="1">
        <f t="shared" si="155"/>
        <v>2057.0643552189072</v>
      </c>
      <c r="AJ29" s="1">
        <f t="shared" si="155"/>
        <v>2470.2001340053407</v>
      </c>
      <c r="AK29" s="1">
        <f t="shared" si="155"/>
        <v>2911.5150999904608</v>
      </c>
      <c r="AL29" s="1">
        <f t="shared" si="155"/>
        <v>3382.4647942474207</v>
      </c>
      <c r="AM29" s="1">
        <f t="shared" si="155"/>
        <v>3884.5706033696702</v>
      </c>
      <c r="AN29" s="1">
        <f t="shared" si="155"/>
        <v>4419.4225045044859</v>
      </c>
      <c r="AO29" s="1">
        <f t="shared" si="155"/>
        <v>4988.6819180477887</v>
      </c>
      <c r="AP29" s="1">
        <f t="shared" si="155"/>
        <v>5594.0846719967294</v>
      </c>
      <c r="AQ29" s="1">
        <f t="shared" si="155"/>
        <v>6254.1995556197135</v>
      </c>
      <c r="AR29" s="1">
        <f t="shared" si="155"/>
        <v>6959.6456952549261</v>
      </c>
      <c r="AS29" s="1">
        <f t="shared" si="155"/>
        <v>7713.2446306038273</v>
      </c>
      <c r="AT29" s="1">
        <f t="shared" ref="AT29:AX29" si="156">+AT27+AT28</f>
        <v>8517.9878597944153</v>
      </c>
      <c r="AU29" s="1">
        <f t="shared" si="156"/>
        <v>6999.3356648021927</v>
      </c>
      <c r="AV29" s="1">
        <f t="shared" si="156"/>
        <v>7493.4369039685298</v>
      </c>
      <c r="AW29" s="1">
        <f t="shared" si="156"/>
        <v>8003.6587005011752</v>
      </c>
      <c r="AX29" s="1">
        <f t="shared" si="156"/>
        <v>8530.4276132389932</v>
      </c>
      <c r="AY29" s="1">
        <f t="shared" ref="AY29:BB29" si="157">+AY27+AY28</f>
        <v>9074.1789390933081</v>
      </c>
      <c r="AZ29" s="1">
        <f t="shared" si="157"/>
        <v>9635.3567730924678</v>
      </c>
      <c r="BA29" s="1">
        <f t="shared" si="157"/>
        <v>10214.414060965417</v>
      </c>
      <c r="BB29" s="1">
        <f t="shared" si="157"/>
        <v>10811.812643626898</v>
      </c>
    </row>
    <row r="30" spans="1:154" x14ac:dyDescent="0.2">
      <c r="A30" s="1" t="s">
        <v>8</v>
      </c>
      <c r="B30" s="1">
        <v>-16</v>
      </c>
      <c r="C30" s="1">
        <v>11</v>
      </c>
      <c r="D30" s="1">
        <v>-92</v>
      </c>
      <c r="E30" s="1">
        <v>120</v>
      </c>
      <c r="F30" s="1">
        <v>67</v>
      </c>
      <c r="G30" s="1">
        <v>-10</v>
      </c>
      <c r="H30" s="1">
        <v>-156</v>
      </c>
      <c r="I30" s="1">
        <v>120</v>
      </c>
      <c r="J30" s="1">
        <v>-15</v>
      </c>
      <c r="K30" s="1">
        <v>42</v>
      </c>
      <c r="L30" s="1">
        <v>32</v>
      </c>
      <c r="M30" s="1">
        <v>-132</v>
      </c>
      <c r="N30" s="1">
        <v>105</v>
      </c>
      <c r="O30" s="1">
        <v>345</v>
      </c>
      <c r="P30" s="1">
        <v>65</v>
      </c>
      <c r="T30" s="17">
        <v>26</v>
      </c>
      <c r="U30" s="17">
        <v>239</v>
      </c>
      <c r="V30" s="17">
        <v>327</v>
      </c>
      <c r="W30" s="1">
        <v>349</v>
      </c>
      <c r="X30" s="1">
        <v>193</v>
      </c>
      <c r="Y30" s="1">
        <v>337</v>
      </c>
      <c r="Z30" s="1">
        <v>284</v>
      </c>
      <c r="AA30" s="1">
        <v>-103</v>
      </c>
      <c r="AB30" s="1">
        <v>-113</v>
      </c>
      <c r="AC30" s="1">
        <v>-73</v>
      </c>
      <c r="AD30" s="1">
        <f>+AD29*0.2</f>
        <v>73.48279999999977</v>
      </c>
      <c r="AE30" s="1">
        <f t="shared" ref="AE30:AS30" si="158">+AE29*0.2</f>
        <v>131.87234959999961</v>
      </c>
      <c r="AF30" s="1">
        <f t="shared" si="158"/>
        <v>194.62192902239929</v>
      </c>
      <c r="AG30" s="1">
        <f t="shared" si="158"/>
        <v>261.96433504421412</v>
      </c>
      <c r="AH30" s="1">
        <f t="shared" si="158"/>
        <v>334.14308536899534</v>
      </c>
      <c r="AI30" s="1">
        <f t="shared" si="158"/>
        <v>411.41287104378148</v>
      </c>
      <c r="AJ30" s="1">
        <f t="shared" si="158"/>
        <v>494.04002680106817</v>
      </c>
      <c r="AK30" s="1">
        <f t="shared" si="158"/>
        <v>582.30301999809217</v>
      </c>
      <c r="AL30" s="1">
        <f t="shared" si="158"/>
        <v>676.49295884948424</v>
      </c>
      <c r="AM30" s="1">
        <f t="shared" si="158"/>
        <v>776.91412067393412</v>
      </c>
      <c r="AN30" s="1">
        <f t="shared" si="158"/>
        <v>883.88450090089725</v>
      </c>
      <c r="AO30" s="1">
        <f t="shared" si="158"/>
        <v>997.73638360955783</v>
      </c>
      <c r="AP30" s="1">
        <f t="shared" si="158"/>
        <v>1118.8169343993459</v>
      </c>
      <c r="AQ30" s="1">
        <f t="shared" si="158"/>
        <v>1250.8399111239428</v>
      </c>
      <c r="AR30" s="1">
        <f t="shared" si="158"/>
        <v>1391.9291390509852</v>
      </c>
      <c r="AS30" s="1">
        <f t="shared" si="158"/>
        <v>1542.6489261207655</v>
      </c>
      <c r="AT30" s="1">
        <f t="shared" ref="AT30:AX30" si="159">+AT29*0.2</f>
        <v>1703.5975719588832</v>
      </c>
      <c r="AU30" s="1">
        <f t="shared" si="159"/>
        <v>1399.8671329604385</v>
      </c>
      <c r="AV30" s="1">
        <f t="shared" si="159"/>
        <v>1498.6873807937061</v>
      </c>
      <c r="AW30" s="1">
        <f t="shared" si="159"/>
        <v>1600.7317401002351</v>
      </c>
      <c r="AX30" s="1">
        <f t="shared" si="159"/>
        <v>1706.0855226477988</v>
      </c>
      <c r="AY30" s="1">
        <f t="shared" ref="AY30:BB30" si="160">+AY29*0.2</f>
        <v>1814.8357878186616</v>
      </c>
      <c r="AZ30" s="1">
        <f t="shared" si="160"/>
        <v>1927.0713546184936</v>
      </c>
      <c r="BA30" s="1">
        <f t="shared" si="160"/>
        <v>2042.8828121930835</v>
      </c>
      <c r="BB30" s="1">
        <f t="shared" si="160"/>
        <v>2162.3625287253794</v>
      </c>
    </row>
    <row r="31" spans="1:154" x14ac:dyDescent="0.2">
      <c r="A31" s="1" t="s">
        <v>9</v>
      </c>
      <c r="B31" s="1">
        <f t="shared" ref="B31:P31" si="161">+B29-B30</f>
        <v>-86</v>
      </c>
      <c r="C31" s="1">
        <f t="shared" si="161"/>
        <v>107</v>
      </c>
      <c r="D31" s="1">
        <f t="shared" si="161"/>
        <v>419</v>
      </c>
      <c r="E31" s="1">
        <f t="shared" si="161"/>
        <v>44</v>
      </c>
      <c r="F31" s="1">
        <f t="shared" si="161"/>
        <v>-297</v>
      </c>
      <c r="G31" s="1">
        <f t="shared" si="161"/>
        <v>-53</v>
      </c>
      <c r="H31" s="1">
        <f t="shared" si="161"/>
        <v>-104</v>
      </c>
      <c r="I31" s="1">
        <f t="shared" si="161"/>
        <v>44</v>
      </c>
      <c r="J31" s="1">
        <f t="shared" si="161"/>
        <v>-73</v>
      </c>
      <c r="K31" s="1">
        <f t="shared" si="161"/>
        <v>115</v>
      </c>
      <c r="L31" s="1">
        <f t="shared" si="161"/>
        <v>116</v>
      </c>
      <c r="M31" s="1">
        <f t="shared" si="161"/>
        <v>27</v>
      </c>
      <c r="N31" s="1">
        <f t="shared" si="161"/>
        <v>-11</v>
      </c>
      <c r="O31" s="1">
        <f t="shared" si="161"/>
        <v>-133</v>
      </c>
      <c r="P31" s="1">
        <f t="shared" si="161"/>
        <v>212</v>
      </c>
      <c r="T31" s="17">
        <f t="shared" ref="T31:AC31" si="162">+T29-T30</f>
        <v>-6209</v>
      </c>
      <c r="U31" s="17">
        <f t="shared" si="162"/>
        <v>-6814</v>
      </c>
      <c r="V31" s="17">
        <f t="shared" si="162"/>
        <v>-5684</v>
      </c>
      <c r="W31" s="1">
        <f t="shared" si="162"/>
        <v>955</v>
      </c>
      <c r="X31" s="1">
        <f t="shared" si="162"/>
        <v>1257</v>
      </c>
      <c r="Y31" s="1">
        <f t="shared" si="162"/>
        <v>1225</v>
      </c>
      <c r="Z31" s="1">
        <f t="shared" si="162"/>
        <v>1264</v>
      </c>
      <c r="AA31" s="1">
        <f t="shared" si="162"/>
        <v>569</v>
      </c>
      <c r="AB31" s="1">
        <f t="shared" si="162"/>
        <v>-276</v>
      </c>
      <c r="AC31" s="1">
        <f t="shared" si="162"/>
        <v>186</v>
      </c>
      <c r="AD31" s="1">
        <f t="shared" ref="AD31:AS31" si="163">+AD29-AD30</f>
        <v>293.93119999999908</v>
      </c>
      <c r="AE31" s="1">
        <f t="shared" si="163"/>
        <v>527.48939839999844</v>
      </c>
      <c r="AF31" s="1">
        <f t="shared" si="163"/>
        <v>778.48771608959703</v>
      </c>
      <c r="AG31" s="1">
        <f t="shared" si="163"/>
        <v>1047.8573401768565</v>
      </c>
      <c r="AH31" s="1">
        <f t="shared" si="163"/>
        <v>1336.5723414759811</v>
      </c>
      <c r="AI31" s="1">
        <f t="shared" si="163"/>
        <v>1645.6514841751257</v>
      </c>
      <c r="AJ31" s="1">
        <f t="shared" si="163"/>
        <v>1976.1601072042727</v>
      </c>
      <c r="AK31" s="1">
        <f t="shared" si="163"/>
        <v>2329.2120799923687</v>
      </c>
      <c r="AL31" s="1">
        <f t="shared" si="163"/>
        <v>2705.9718353979365</v>
      </c>
      <c r="AM31" s="1">
        <f t="shared" si="163"/>
        <v>3107.656482695736</v>
      </c>
      <c r="AN31" s="1">
        <f t="shared" si="163"/>
        <v>3535.5380036035885</v>
      </c>
      <c r="AO31" s="1">
        <f t="shared" si="163"/>
        <v>3990.9455344382309</v>
      </c>
      <c r="AP31" s="1">
        <f t="shared" si="163"/>
        <v>4475.2677375973835</v>
      </c>
      <c r="AQ31" s="1">
        <f t="shared" si="163"/>
        <v>5003.3596444957711</v>
      </c>
      <c r="AR31" s="1">
        <f t="shared" si="163"/>
        <v>5567.7165562039409</v>
      </c>
      <c r="AS31" s="1">
        <f t="shared" si="163"/>
        <v>6170.595704483062</v>
      </c>
      <c r="AT31" s="1">
        <f t="shared" ref="AT31:AX31" si="164">+AT29-AT30</f>
        <v>6814.390287835532</v>
      </c>
      <c r="AU31" s="1">
        <f t="shared" si="164"/>
        <v>5599.4685318417542</v>
      </c>
      <c r="AV31" s="1">
        <f t="shared" si="164"/>
        <v>5994.7495231748235</v>
      </c>
      <c r="AW31" s="1">
        <f t="shared" si="164"/>
        <v>6402.9269604009405</v>
      </c>
      <c r="AX31" s="1">
        <f t="shared" si="164"/>
        <v>6824.3420905911944</v>
      </c>
      <c r="AY31" s="1">
        <f t="shared" ref="AY31:BB31" si="165">+AY29-AY30</f>
        <v>7259.3431512746465</v>
      </c>
      <c r="AZ31" s="1">
        <f t="shared" si="165"/>
        <v>7708.2854184739745</v>
      </c>
      <c r="BA31" s="1">
        <f t="shared" si="165"/>
        <v>8171.5312487723331</v>
      </c>
      <c r="BB31" s="1">
        <f t="shared" si="165"/>
        <v>8649.4501149015177</v>
      </c>
      <c r="BC31" s="1">
        <f>+BB31*(1+$BE$34)</f>
        <v>8562.9556137525033</v>
      </c>
      <c r="BD31" s="1">
        <f>+BC31*(1+$BE$34)</f>
        <v>8477.3260576149787</v>
      </c>
      <c r="BE31" s="1">
        <f>+BD31*(1+$BE$34)</f>
        <v>8392.5527970388284</v>
      </c>
      <c r="BF31" s="1">
        <f>+BE31*(1+$BE$34)</f>
        <v>8308.62726906844</v>
      </c>
      <c r="BG31" s="1">
        <f>+BF31*(1+$BE$34)</f>
        <v>8225.5409963777547</v>
      </c>
      <c r="BH31" s="1">
        <f>+BG31*(1+$BE$34)</f>
        <v>8143.2855864139774</v>
      </c>
      <c r="BI31" s="1">
        <f>+BH31*(1+$BE$34)</f>
        <v>8061.8527305498374</v>
      </c>
      <c r="BJ31" s="1">
        <f>+BI31*(1+$BE$34)</f>
        <v>7981.2342032443394</v>
      </c>
      <c r="BK31" s="1">
        <f>+BJ31*(1+$BE$34)</f>
        <v>7901.4218612118957</v>
      </c>
      <c r="BL31" s="1">
        <f>+BK31*(1+$BE$34)</f>
        <v>7822.4076425997764</v>
      </c>
      <c r="BM31" s="1">
        <f>+BL31*(1+$BE$34)</f>
        <v>7744.1835661737787</v>
      </c>
      <c r="BN31" s="1">
        <f>+BM31*(1+$BE$34)</f>
        <v>7666.7417305120407</v>
      </c>
      <c r="BO31" s="1">
        <f>+BN31*(1+$BE$34)</f>
        <v>7590.0743132069201</v>
      </c>
      <c r="BP31" s="1">
        <f>+BO31*(1+$BE$34)</f>
        <v>7514.1735700748504</v>
      </c>
      <c r="BQ31" s="1">
        <f>+BP31*(1+$BE$34)</f>
        <v>7439.0318343741019</v>
      </c>
      <c r="BR31" s="1">
        <f>+BQ31*(1+$BE$34)</f>
        <v>7364.6415160303604</v>
      </c>
      <c r="BS31" s="1">
        <f>+BR31*(1+$BE$34)</f>
        <v>7290.9951008700564</v>
      </c>
      <c r="BT31" s="1">
        <f>+BS31*(1+$BE$34)</f>
        <v>7218.0851498613556</v>
      </c>
      <c r="BU31" s="1">
        <f>+BT31*(1+$BE$34)</f>
        <v>7145.9042983627423</v>
      </c>
      <c r="BV31" s="1">
        <f>+BU31*(1+$BE$34)</f>
        <v>7074.4452553791152</v>
      </c>
      <c r="BW31" s="1">
        <f>+BV31*(1+$BE$34)</f>
        <v>7003.700802825324</v>
      </c>
      <c r="BX31" s="1">
        <f>+BW31*(1+$BE$34)</f>
        <v>6933.6637947970703</v>
      </c>
      <c r="BY31" s="1">
        <f>+BX31*(1+$BE$34)</f>
        <v>6864.3271568490991</v>
      </c>
      <c r="BZ31" s="1">
        <f>+BY31*(1+$BE$34)</f>
        <v>6795.6838852806077</v>
      </c>
      <c r="CA31" s="1">
        <f>+BZ31*(1+$BE$34)</f>
        <v>6727.7270464278017</v>
      </c>
      <c r="CB31" s="1">
        <f>+CA31*(1+$BE$34)</f>
        <v>6660.4497759635233</v>
      </c>
      <c r="CC31" s="1">
        <f>+CB31*(1+$BE$34)</f>
        <v>6593.8452782038876</v>
      </c>
      <c r="CD31" s="1">
        <f>+CC31*(1+$BE$34)</f>
        <v>6527.9068254218482</v>
      </c>
      <c r="CE31" s="1">
        <f>+CD31*(1+$BE$34)</f>
        <v>6462.6277571676301</v>
      </c>
      <c r="CF31" s="1">
        <f>+CE31*(1+$BE$34)</f>
        <v>6398.0014795959542</v>
      </c>
      <c r="CG31" s="1">
        <f>+CF31*(1+$BE$34)</f>
        <v>6334.0214647999946</v>
      </c>
      <c r="CH31" s="1">
        <f>+CG31*(1+$BE$34)</f>
        <v>6270.6812501519944</v>
      </c>
      <c r="CI31" s="1">
        <f>+CH31*(1+$BE$34)</f>
        <v>6207.9744376504741</v>
      </c>
      <c r="CJ31" s="1">
        <f>+CI31*(1+$BE$34)</f>
        <v>6145.8946932739691</v>
      </c>
      <c r="CK31" s="1">
        <f>+CJ31*(1+$BE$34)</f>
        <v>6084.4357463412298</v>
      </c>
      <c r="CL31" s="1">
        <f>+CK31*(1+$BE$34)</f>
        <v>6023.5913888778177</v>
      </c>
      <c r="CM31" s="1">
        <f>+CL31*(1+$BE$34)</f>
        <v>5963.3554749890391</v>
      </c>
      <c r="CN31" s="1">
        <f>+CM31*(1+$BE$34)</f>
        <v>5903.7219202391489</v>
      </c>
      <c r="CO31" s="1">
        <f>+CN31*(1+$BE$34)</f>
        <v>5844.6847010367574</v>
      </c>
      <c r="CP31" s="1">
        <f>+CO31*(1+$BE$34)</f>
        <v>5786.2378540263899</v>
      </c>
      <c r="CQ31" s="1">
        <f>+CP31*(1+$BE$34)</f>
        <v>5728.3754754861257</v>
      </c>
      <c r="CR31" s="1">
        <f>+CQ31*(1+$BE$34)</f>
        <v>5671.0917207312641</v>
      </c>
      <c r="CS31" s="1">
        <f>+CR31*(1+$BE$34)</f>
        <v>5614.3808035239517</v>
      </c>
      <c r="CT31" s="1">
        <f>+CS31*(1+$BE$34)</f>
        <v>5558.2369954887117</v>
      </c>
      <c r="CU31" s="1">
        <f>+CT31*(1+$BE$34)</f>
        <v>5502.6546255338244</v>
      </c>
      <c r="CV31" s="1">
        <f>+CU31*(1+$BE$34)</f>
        <v>5447.6280792784864</v>
      </c>
      <c r="CW31" s="1">
        <f>+CV31*(1+$BE$34)</f>
        <v>5393.1517984857019</v>
      </c>
      <c r="CX31" s="1">
        <f>+CW31*(1+$BE$34)</f>
        <v>5339.2202805008446</v>
      </c>
      <c r="CY31" s="1">
        <f>+CX31*(1+$BE$34)</f>
        <v>5285.8280776958363</v>
      </c>
      <c r="CZ31" s="1">
        <f>+CY31*(1+$BE$34)</f>
        <v>5232.9697969188783</v>
      </c>
      <c r="DA31" s="1">
        <f>+CZ31*(1+$BE$34)</f>
        <v>5180.6400989496897</v>
      </c>
      <c r="DB31" s="1">
        <f>+DA31*(1+$BE$34)</f>
        <v>5128.8336979601927</v>
      </c>
      <c r="DC31" s="1">
        <f>+DB31*(1+$BE$34)</f>
        <v>5077.5453609805909</v>
      </c>
      <c r="DD31" s="1">
        <f>+DC31*(1+$BE$34)</f>
        <v>5026.7699073707845</v>
      </c>
      <c r="DE31" s="1">
        <f>+DD31*(1+$BE$34)</f>
        <v>4976.5022082970763</v>
      </c>
      <c r="DF31" s="1">
        <f>+DE31*(1+$BE$34)</f>
        <v>4926.7371862141053</v>
      </c>
      <c r="DG31" s="1">
        <f>+DF31*(1+$BE$34)</f>
        <v>4877.4698143519645</v>
      </c>
      <c r="DH31" s="1">
        <f>+DG31*(1+$BE$34)</f>
        <v>4828.6951162084451</v>
      </c>
      <c r="DI31" s="1">
        <f>+DH31*(1+$BE$34)</f>
        <v>4780.4081650463604</v>
      </c>
      <c r="DJ31" s="1">
        <f>+DI31*(1+$BE$34)</f>
        <v>4732.6040833958969</v>
      </c>
      <c r="DK31" s="1">
        <f>+DJ31*(1+$BE$34)</f>
        <v>4685.2780425619376</v>
      </c>
      <c r="DL31" s="1">
        <f>+DK31*(1+$BE$34)</f>
        <v>4638.4252621363185</v>
      </c>
      <c r="DM31" s="1">
        <f>+DL31*(1+$BE$34)</f>
        <v>4592.0410095149555</v>
      </c>
      <c r="DN31" s="1">
        <f>+DM31*(1+$BE$34)</f>
        <v>4546.1205994198062</v>
      </c>
      <c r="DO31" s="1">
        <f>+DN31*(1+$BE$34)</f>
        <v>4500.659393425608</v>
      </c>
      <c r="DP31" s="1">
        <f>+DO31*(1+$BE$34)</f>
        <v>4455.6527994913522</v>
      </c>
      <c r="DQ31" s="1">
        <f>+DP31*(1+$BE$34)</f>
        <v>4411.0962714964389</v>
      </c>
      <c r="DR31" s="1">
        <f>+DQ31*(1+$BE$34)</f>
        <v>4366.9853087814745</v>
      </c>
      <c r="DS31" s="1">
        <f>+DR31*(1+$BE$34)</f>
        <v>4323.3154556936597</v>
      </c>
      <c r="DT31" s="1">
        <f>+DS31*(1+$BE$34)</f>
        <v>4280.0823011367229</v>
      </c>
      <c r="DU31" s="1">
        <f>+DT31*(1+$BE$34)</f>
        <v>4237.2814781253555</v>
      </c>
      <c r="DV31" s="1">
        <f>+DU31*(1+$BE$34)</f>
        <v>4194.908663344102</v>
      </c>
      <c r="DW31" s="1">
        <f>+DV31*(1+$BE$34)</f>
        <v>4152.9595767106612</v>
      </c>
      <c r="DX31" s="1">
        <f>+DW31*(1+$BE$34)</f>
        <v>4111.4299809435543</v>
      </c>
      <c r="DY31" s="1">
        <f>+DX31*(1+$BE$34)</f>
        <v>4070.3156811341187</v>
      </c>
      <c r="DZ31" s="1">
        <f>+DY31*(1+$BE$34)</f>
        <v>4029.6125243227775</v>
      </c>
      <c r="EA31" s="1">
        <f>+DZ31*(1+$BE$34)</f>
        <v>3989.3163990795497</v>
      </c>
      <c r="EB31" s="1">
        <f>+EA31*(1+$BE$34)</f>
        <v>3949.4232350887542</v>
      </c>
      <c r="EC31" s="1">
        <f>+EB31*(1+$BE$34)</f>
        <v>3909.9290027378665</v>
      </c>
      <c r="ED31" s="1">
        <f>+EC31*(1+$BE$34)</f>
        <v>3870.8297127104879</v>
      </c>
      <c r="EE31" s="1">
        <f>+ED31*(1+$BE$34)</f>
        <v>3832.1214155833832</v>
      </c>
      <c r="EF31" s="1">
        <f>+EE31*(1+$BE$34)</f>
        <v>3793.8002014275494</v>
      </c>
      <c r="EG31" s="1">
        <f>+EF31*(1+$BE$34)</f>
        <v>3755.8621994132736</v>
      </c>
      <c r="EH31" s="1">
        <f>+EG31*(1+$BE$34)</f>
        <v>3718.3035774191408</v>
      </c>
      <c r="EI31" s="1">
        <f>+EH31*(1+$BE$34)</f>
        <v>3681.1205416449493</v>
      </c>
      <c r="EJ31" s="1">
        <f>+EI31*(1+$BE$34)</f>
        <v>3644.3093362284999</v>
      </c>
      <c r="EK31" s="1">
        <f>+EJ31*(1+$BE$34)</f>
        <v>3607.8662428662146</v>
      </c>
      <c r="EL31" s="1">
        <f>+EK31*(1+$BE$34)</f>
        <v>3571.7875804375526</v>
      </c>
      <c r="EM31" s="1">
        <f>+EL31*(1+$BE$34)</f>
        <v>3536.069704633177</v>
      </c>
      <c r="EN31" s="1">
        <f>+EM31*(1+$BE$34)</f>
        <v>3500.709007586845</v>
      </c>
      <c r="EO31" s="1">
        <f>+EN31*(1+$BE$34)</f>
        <v>3465.7019175109767</v>
      </c>
      <c r="EP31" s="1">
        <f>+EO31*(1+$BE$34)</f>
        <v>3431.0448983358669</v>
      </c>
      <c r="EQ31" s="1">
        <f t="shared" ref="EQ31:EX31" si="166">+EP31*(1+$BE$34)</f>
        <v>3396.7344493525084</v>
      </c>
      <c r="ER31" s="1">
        <f t="shared" si="166"/>
        <v>3362.7671048589832</v>
      </c>
      <c r="ES31" s="1">
        <f t="shared" si="166"/>
        <v>3329.1394338103933</v>
      </c>
      <c r="ET31" s="1">
        <f t="shared" si="166"/>
        <v>3295.8480394722892</v>
      </c>
      <c r="EU31" s="1">
        <f t="shared" si="166"/>
        <v>3262.8895590775664</v>
      </c>
      <c r="EV31" s="1">
        <f t="shared" si="166"/>
        <v>3230.2606634867907</v>
      </c>
      <c r="EW31" s="1">
        <f t="shared" si="166"/>
        <v>3197.9580568519227</v>
      </c>
      <c r="EX31" s="1">
        <f t="shared" si="166"/>
        <v>3165.9784762834033</v>
      </c>
    </row>
    <row r="32" spans="1:154" s="4" customFormat="1" x14ac:dyDescent="0.2">
      <c r="A32" s="4" t="s">
        <v>10</v>
      </c>
      <c r="B32" s="4">
        <f t="shared" ref="B32:P32" si="167">+B31/B33</f>
        <v>-9.410868677893322E-2</v>
      </c>
      <c r="C32" s="4">
        <f t="shared" si="167"/>
        <v>0.11715948471725694</v>
      </c>
      <c r="D32" s="4">
        <f t="shared" si="167"/>
        <v>0.45693422219217195</v>
      </c>
      <c r="E32" s="4">
        <f t="shared" si="167"/>
        <v>4.7711889586012607E-2</v>
      </c>
      <c r="F32" s="4">
        <f t="shared" si="167"/>
        <v>-0.33793393789752751</v>
      </c>
      <c r="G32" s="4">
        <f t="shared" si="167"/>
        <v>-5.7390300606063233E-2</v>
      </c>
      <c r="H32" s="4">
        <f t="shared" si="167"/>
        <v>-0.11215344316462507</v>
      </c>
      <c r="I32" s="4">
        <f t="shared" si="167"/>
        <v>4.7449533646572145E-2</v>
      </c>
      <c r="J32" s="4">
        <f t="shared" si="167"/>
        <v>-7.7513288750804335E-2</v>
      </c>
      <c r="K32" s="4">
        <f t="shared" si="167"/>
        <v>0.12149512963002092</v>
      </c>
      <c r="L32" s="4">
        <f t="shared" si="167"/>
        <v>0.11943703969119349</v>
      </c>
      <c r="M32" s="4">
        <f t="shared" si="167"/>
        <v>2.8669298579064615E-2</v>
      </c>
      <c r="N32" s="4">
        <f t="shared" si="167"/>
        <v>-1.1680084606285585E-2</v>
      </c>
      <c r="O32" s="4">
        <f t="shared" si="167"/>
        <v>-0.14122284114872571</v>
      </c>
      <c r="P32" s="4">
        <f t="shared" si="167"/>
        <v>0.22450944157512437</v>
      </c>
      <c r="T32" s="18">
        <f t="shared" ref="T32:AC32" si="168">+T31/T33</f>
        <v>-6.7290603114697234</v>
      </c>
      <c r="U32" s="18">
        <f t="shared" si="168"/>
        <v>-7.3774569004831996</v>
      </c>
      <c r="V32" s="18">
        <f t="shared" si="168"/>
        <v>-6.119795852223735</v>
      </c>
      <c r="W32" s="4">
        <f t="shared" si="168"/>
        <v>1.0311037020401816</v>
      </c>
      <c r="X32" s="4">
        <f t="shared" si="168"/>
        <v>1.317705194578167</v>
      </c>
      <c r="Y32" s="4">
        <f t="shared" si="168"/>
        <v>1.3161135330674036</v>
      </c>
      <c r="Z32" s="4">
        <f t="shared" si="168"/>
        <v>1.3789717699397552</v>
      </c>
      <c r="AA32" s="4">
        <f t="shared" si="168"/>
        <v>0.59958501635653172</v>
      </c>
      <c r="AB32" s="4">
        <f t="shared" si="168"/>
        <v>-0.29969027661412534</v>
      </c>
      <c r="AC32" s="4">
        <f t="shared" si="168"/>
        <v>0.20273803382627414</v>
      </c>
    </row>
    <row r="33" spans="1:57" x14ac:dyDescent="0.2">
      <c r="A33" s="1" t="s">
        <v>11</v>
      </c>
      <c r="B33" s="1">
        <v>913.83699999999999</v>
      </c>
      <c r="C33" s="1">
        <v>913.28499999999997</v>
      </c>
      <c r="D33" s="1">
        <v>916.98099999999999</v>
      </c>
      <c r="E33" s="1">
        <v>922.202</v>
      </c>
      <c r="F33" s="1">
        <v>878.87</v>
      </c>
      <c r="G33" s="1">
        <v>923.50099999999998</v>
      </c>
      <c r="H33" s="1">
        <v>927.30100000000004</v>
      </c>
      <c r="I33" s="1">
        <v>927.30100000000004</v>
      </c>
      <c r="J33" s="1">
        <v>941.774</v>
      </c>
      <c r="K33" s="1">
        <v>946.54</v>
      </c>
      <c r="L33" s="1">
        <v>971.22299999999996</v>
      </c>
      <c r="M33" s="1">
        <v>941.774</v>
      </c>
      <c r="N33" s="1">
        <v>941.774</v>
      </c>
      <c r="O33" s="1">
        <v>941.774</v>
      </c>
      <c r="P33" s="1">
        <v>944.28099999999995</v>
      </c>
      <c r="T33" s="17">
        <v>922.71427400000005</v>
      </c>
      <c r="U33" s="17">
        <v>923.62450799999999</v>
      </c>
      <c r="V33" s="17">
        <v>928.78915199999994</v>
      </c>
      <c r="W33" s="1">
        <v>926.19200000000001</v>
      </c>
      <c r="X33" s="1">
        <v>953.93112599999995</v>
      </c>
      <c r="Y33" s="1">
        <v>930.77076499999998</v>
      </c>
      <c r="Z33" s="1">
        <v>916.625001</v>
      </c>
      <c r="AA33" s="1">
        <v>948.98969199999999</v>
      </c>
      <c r="AB33" s="1">
        <v>920.95079999999996</v>
      </c>
      <c r="AC33" s="1">
        <v>917.44009000000005</v>
      </c>
      <c r="BD33" s="1" t="s">
        <v>157</v>
      </c>
      <c r="BE33" s="3">
        <v>0.03</v>
      </c>
    </row>
    <row r="34" spans="1:57" x14ac:dyDescent="0.2">
      <c r="BD34" s="1" t="s">
        <v>158</v>
      </c>
      <c r="BE34" s="3">
        <v>-0.01</v>
      </c>
    </row>
    <row r="35" spans="1:57" s="3" customFormat="1" x14ac:dyDescent="0.2">
      <c r="A35" s="3" t="s">
        <v>12</v>
      </c>
      <c r="B35" s="3">
        <f t="shared" ref="B35:P35" si="169">+B22/B20</f>
        <v>0.38855500391951919</v>
      </c>
      <c r="C35" s="3">
        <f t="shared" si="169"/>
        <v>0.42293144208037825</v>
      </c>
      <c r="D35" s="3">
        <f t="shared" si="169"/>
        <v>0.47497593840230989</v>
      </c>
      <c r="E35" s="3">
        <f t="shared" si="169"/>
        <v>0.40962744374769455</v>
      </c>
      <c r="F35" s="3">
        <f t="shared" si="169"/>
        <v>0.38565594691168964</v>
      </c>
      <c r="G35" s="3">
        <f t="shared" si="169"/>
        <v>0.41465166387359348</v>
      </c>
      <c r="H35" s="3">
        <f t="shared" si="169"/>
        <v>0.40139211136890951</v>
      </c>
      <c r="I35" s="3">
        <f t="shared" si="169"/>
        <v>0.40962744374769455</v>
      </c>
      <c r="J35" s="3">
        <f t="shared" si="169"/>
        <v>0.42140628749700026</v>
      </c>
      <c r="K35" s="3">
        <f t="shared" si="169"/>
        <v>0.43892617449664428</v>
      </c>
      <c r="L35" s="3">
        <f t="shared" si="169"/>
        <v>0.43234175799597407</v>
      </c>
      <c r="M35" s="3">
        <f t="shared" si="169"/>
        <v>0.35539312524693795</v>
      </c>
      <c r="N35" s="3">
        <f t="shared" si="169"/>
        <v>0.43861768970517157</v>
      </c>
      <c r="O35" s="3">
        <f t="shared" si="169"/>
        <v>0.44576423128641862</v>
      </c>
      <c r="P35" s="3">
        <f t="shared" si="169"/>
        <v>0.45830477496001826</v>
      </c>
      <c r="T35" s="19">
        <f t="shared" ref="T35:AC35" si="170">+T22/T20</f>
        <v>8.4565715475942507E-2</v>
      </c>
      <c r="U35" s="19">
        <f t="shared" si="170"/>
        <v>0.14152744630071598</v>
      </c>
      <c r="V35" s="19">
        <f t="shared" si="170"/>
        <v>0.201882785144366</v>
      </c>
      <c r="W35" s="3">
        <f t="shared" si="170"/>
        <v>0.46006749156355453</v>
      </c>
      <c r="X35" s="3">
        <f t="shared" si="170"/>
        <v>0.47199381932564427</v>
      </c>
      <c r="Y35" s="3">
        <f t="shared" si="170"/>
        <v>0.45554871163124938</v>
      </c>
      <c r="Z35" s="3">
        <f t="shared" si="170"/>
        <v>0.44950089582800101</v>
      </c>
      <c r="AA35" s="3">
        <f t="shared" si="170"/>
        <v>0.41781301002564702</v>
      </c>
      <c r="AB35" s="3">
        <f t="shared" si="170"/>
        <v>0.40354518427104952</v>
      </c>
      <c r="AC35" s="3">
        <f t="shared" si="170"/>
        <v>0.40992899994496118</v>
      </c>
      <c r="AD35" s="3">
        <f t="shared" ref="AD35:AS35" si="171">+AD22/AD20</f>
        <v>0.41794938246998115</v>
      </c>
      <c r="AE35" s="3">
        <f t="shared" si="171"/>
        <v>0.42586075008689395</v>
      </c>
      <c r="AF35" s="3">
        <f t="shared" si="171"/>
        <v>0.43366458455173224</v>
      </c>
      <c r="AG35" s="3">
        <f t="shared" si="171"/>
        <v>0.44136234748015529</v>
      </c>
      <c r="AH35" s="3">
        <f t="shared" si="171"/>
        <v>0.44895548062120172</v>
      </c>
      <c r="AI35" s="3">
        <f t="shared" si="171"/>
        <v>0.45644540612732132</v>
      </c>
      <c r="AJ35" s="3">
        <f t="shared" si="171"/>
        <v>0.46383352682073636</v>
      </c>
      <c r="AK35" s="3">
        <f t="shared" si="171"/>
        <v>0.47112122645618265</v>
      </c>
      <c r="AL35" s="3">
        <f t="shared" si="171"/>
        <v>0.47830986998007924</v>
      </c>
      <c r="AM35" s="3">
        <f t="shared" si="171"/>
        <v>0.48540080378617523</v>
      </c>
      <c r="AN35" s="3">
        <f t="shared" si="171"/>
        <v>0.49239535596772233</v>
      </c>
      <c r="AO35" s="3">
        <f t="shared" si="171"/>
        <v>0.49929483656621937</v>
      </c>
      <c r="AP35" s="3">
        <f t="shared" si="171"/>
        <v>0.50610053781677555</v>
      </c>
      <c r="AQ35" s="3">
        <f t="shared" si="171"/>
        <v>0.51281373439013977</v>
      </c>
      <c r="AR35" s="3">
        <f t="shared" si="171"/>
        <v>0.51943568363143888</v>
      </c>
      <c r="AS35" s="3">
        <f t="shared" si="171"/>
        <v>0.5259676257956718</v>
      </c>
      <c r="BD35" s="3" t="s">
        <v>159</v>
      </c>
      <c r="BE35" s="3">
        <v>0.09</v>
      </c>
    </row>
    <row r="36" spans="1:57" s="3" customFormat="1" x14ac:dyDescent="0.2">
      <c r="A36" s="3" t="s">
        <v>13</v>
      </c>
      <c r="B36" s="3">
        <f t="shared" ref="B36:P36" si="172">+B27/B20</f>
        <v>-2.5084922916122288E-2</v>
      </c>
      <c r="C36" s="3">
        <f t="shared" si="172"/>
        <v>2.955082742316785E-2</v>
      </c>
      <c r="D36" s="3">
        <f t="shared" si="172"/>
        <v>7.9884504331087583E-2</v>
      </c>
      <c r="E36" s="3">
        <f t="shared" si="172"/>
        <v>4.4632976761342681E-2</v>
      </c>
      <c r="F36" s="3">
        <f t="shared" si="172"/>
        <v>-5.1812149055640633E-2</v>
      </c>
      <c r="G36" s="3">
        <f t="shared" si="172"/>
        <v>-3.5910940866650705E-3</v>
      </c>
      <c r="H36" s="3">
        <f t="shared" si="172"/>
        <v>-4.9651972157772624E-2</v>
      </c>
      <c r="I36" s="3">
        <f t="shared" si="172"/>
        <v>4.4632976761342681E-2</v>
      </c>
      <c r="J36" s="3">
        <f t="shared" si="172"/>
        <v>-2.1598272138228943E-3</v>
      </c>
      <c r="K36" s="3">
        <f t="shared" si="172"/>
        <v>5.0335570469798654E-2</v>
      </c>
      <c r="L36" s="3">
        <f t="shared" si="172"/>
        <v>5.0100648624468801E-2</v>
      </c>
      <c r="M36" s="3">
        <f t="shared" si="172"/>
        <v>-2.5681548794942708E-3</v>
      </c>
      <c r="N36" s="3">
        <f t="shared" si="172"/>
        <v>3.9632672788786856E-2</v>
      </c>
      <c r="O36" s="3">
        <f t="shared" si="172"/>
        <v>6.275212909009413E-2</v>
      </c>
      <c r="P36" s="3">
        <f t="shared" si="172"/>
        <v>7.9278044322595387E-2</v>
      </c>
      <c r="T36" s="19">
        <f t="shared" ref="T36:AC36" si="173">+T27/T20</f>
        <v>-0.40838714156772893</v>
      </c>
      <c r="U36" s="19">
        <f t="shared" si="173"/>
        <v>-0.37028639618138426</v>
      </c>
      <c r="V36" s="19">
        <f t="shared" si="173"/>
        <v>-0.27920326043281096</v>
      </c>
      <c r="W36" s="3">
        <f t="shared" si="173"/>
        <v>8.1046119235095609E-2</v>
      </c>
      <c r="X36" s="3">
        <f t="shared" si="173"/>
        <v>9.177197726394791E-2</v>
      </c>
      <c r="Y36" s="3">
        <f t="shared" si="173"/>
        <v>8.6130787393491434E-2</v>
      </c>
      <c r="Z36" s="3">
        <f t="shared" si="173"/>
        <v>8.149475300742258E-2</v>
      </c>
      <c r="AA36" s="3">
        <f t="shared" si="173"/>
        <v>2.9435765912800185E-2</v>
      </c>
      <c r="AB36" s="3">
        <f t="shared" si="173"/>
        <v>-1.0601896000448757E-2</v>
      </c>
      <c r="AC36" s="3">
        <f t="shared" si="173"/>
        <v>2.3446529803511477E-2</v>
      </c>
      <c r="AD36" s="3">
        <f t="shared" ref="AD36:AS36" si="174">+AD27/AD20</f>
        <v>3.7053083588978714E-2</v>
      </c>
      <c r="AE36" s="3">
        <f t="shared" si="174"/>
        <v>5.0357478966775546E-2</v>
      </c>
      <c r="AF36" s="3">
        <f t="shared" si="174"/>
        <v>6.3365267534655448E-2</v>
      </c>
      <c r="AG36" s="3">
        <f t="shared" si="174"/>
        <v>7.608186913808325E-2</v>
      </c>
      <c r="AH36" s="3">
        <f t="shared" si="174"/>
        <v>8.8512574796441965E-2</v>
      </c>
      <c r="AI36" s="3">
        <f t="shared" si="174"/>
        <v>0.10066254955726948</v>
      </c>
      <c r="AJ36" s="3">
        <f t="shared" si="174"/>
        <v>0.11253683528025547</v>
      </c>
      <c r="AK36" s="3">
        <f t="shared" si="174"/>
        <v>0.12414035335269588</v>
      </c>
      <c r="AL36" s="3">
        <f t="shared" si="174"/>
        <v>0.13547790733805221</v>
      </c>
      <c r="AM36" s="3">
        <f t="shared" si="174"/>
        <v>0.14655418555922464</v>
      </c>
      <c r="AN36" s="3">
        <f t="shared" si="174"/>
        <v>0.15737376361810931</v>
      </c>
      <c r="AO36" s="3">
        <f t="shared" si="174"/>
        <v>0.16794110685296715</v>
      </c>
      <c r="AP36" s="3">
        <f t="shared" si="174"/>
        <v>0.17826057273509799</v>
      </c>
      <c r="AQ36" s="3">
        <f t="shared" si="174"/>
        <v>0.18833641320627198</v>
      </c>
      <c r="AR36" s="3">
        <f t="shared" si="174"/>
        <v>0.19817277695833738</v>
      </c>
      <c r="AS36" s="3">
        <f t="shared" si="174"/>
        <v>0.20777371165638692</v>
      </c>
      <c r="BD36" s="3" t="s">
        <v>160</v>
      </c>
      <c r="BE36" s="1">
        <f>+NPV(BE35,AD31:EX31)+Main!L6-Main!L7</f>
        <v>31329.47079543685</v>
      </c>
    </row>
    <row r="37" spans="1:57" s="3" customFormat="1" x14ac:dyDescent="0.2">
      <c r="A37" s="3" t="s">
        <v>14</v>
      </c>
      <c r="B37" s="3">
        <f t="shared" ref="B37:P37" si="175">+B31/B20</f>
        <v>-2.247191011235955E-2</v>
      </c>
      <c r="C37" s="3">
        <f t="shared" si="175"/>
        <v>2.5295508274231677E-2</v>
      </c>
      <c r="D37" s="3">
        <f t="shared" si="175"/>
        <v>0.10081809432146295</v>
      </c>
      <c r="E37" s="3">
        <f t="shared" si="175"/>
        <v>8.1150866838804875E-3</v>
      </c>
      <c r="F37" s="3">
        <f t="shared" si="175"/>
        <v>-7.5803981623277186E-2</v>
      </c>
      <c r="G37" s="3">
        <f t="shared" si="175"/>
        <v>-1.2688532439549916E-2</v>
      </c>
      <c r="H37" s="3">
        <f t="shared" si="175"/>
        <v>-2.4129930394431554E-2</v>
      </c>
      <c r="I37" s="3">
        <f t="shared" si="175"/>
        <v>8.1150866838804875E-3</v>
      </c>
      <c r="J37" s="3">
        <f t="shared" si="175"/>
        <v>-1.7518598512119031E-2</v>
      </c>
      <c r="K37" s="3">
        <f t="shared" si="175"/>
        <v>2.5727069351230425E-2</v>
      </c>
      <c r="L37" s="3">
        <f t="shared" si="175"/>
        <v>2.5944978751957056E-2</v>
      </c>
      <c r="M37" s="3">
        <f t="shared" si="175"/>
        <v>5.3338601343342548E-3</v>
      </c>
      <c r="N37" s="3">
        <f t="shared" si="175"/>
        <v>-2.6582890285161915E-3</v>
      </c>
      <c r="O37" s="3">
        <f t="shared" si="175"/>
        <v>-2.9807261317794712E-2</v>
      </c>
      <c r="P37" s="3">
        <f t="shared" si="175"/>
        <v>4.8435001142334934E-2</v>
      </c>
      <c r="T37" s="19">
        <f t="shared" ref="T37:AC37" si="176">+T31/T20</f>
        <v>-0.43109074498368394</v>
      </c>
      <c r="U37" s="19">
        <f t="shared" si="176"/>
        <v>-0.40656324582338904</v>
      </c>
      <c r="V37" s="19">
        <f t="shared" si="176"/>
        <v>-0.32627288904196083</v>
      </c>
      <c r="W37" s="3">
        <f t="shared" si="176"/>
        <v>5.3712035995500562E-2</v>
      </c>
      <c r="X37" s="3">
        <f t="shared" si="176"/>
        <v>6.9367032724463332E-2</v>
      </c>
      <c r="Y37" s="3">
        <f t="shared" si="176"/>
        <v>6.2878554563186528E-2</v>
      </c>
      <c r="Z37" s="3">
        <f t="shared" si="176"/>
        <v>6.4704376759662147E-2</v>
      </c>
      <c r="AA37" s="3">
        <f t="shared" si="176"/>
        <v>3.3166239216600606E-2</v>
      </c>
      <c r="AB37" s="3">
        <f t="shared" si="176"/>
        <v>-1.5482133841925169E-2</v>
      </c>
      <c r="AC37" s="3">
        <f t="shared" si="176"/>
        <v>1.0237217238152898E-2</v>
      </c>
      <c r="AD37" s="3">
        <f t="shared" ref="AD37:AS37" si="177">+AD31/AD20</f>
        <v>1.5706428371807902E-2</v>
      </c>
      <c r="AE37" s="3">
        <f t="shared" si="177"/>
        <v>2.7365807091378924E-2</v>
      </c>
      <c r="AF37" s="3">
        <f t="shared" si="177"/>
        <v>3.9211103543854105E-2</v>
      </c>
      <c r="AG37" s="3">
        <f t="shared" si="177"/>
        <v>5.1241547405499535E-2</v>
      </c>
      <c r="AH37" s="3">
        <f t="shared" si="177"/>
        <v>6.3456384100505914E-2</v>
      </c>
      <c r="AI37" s="3">
        <f t="shared" si="177"/>
        <v>7.5854874235497707E-2</v>
      </c>
      <c r="AJ37" s="3">
        <f t="shared" si="177"/>
        <v>8.8436293038866534E-2</v>
      </c>
      <c r="AK37" s="3">
        <f t="shared" si="177"/>
        <v>0.1011999298046973</v>
      </c>
      <c r="AL37" s="3">
        <f t="shared" si="177"/>
        <v>0.11414508734105196</v>
      </c>
      <c r="AM37" s="3">
        <f t="shared" si="177"/>
        <v>0.12727108142238192</v>
      </c>
      <c r="AN37" s="3">
        <f t="shared" si="177"/>
        <v>0.14057724024584423</v>
      </c>
      <c r="AO37" s="3">
        <f t="shared" si="177"/>
        <v>0.15406290389129657</v>
      </c>
      <c r="AP37" s="3">
        <f t="shared" si="177"/>
        <v>0.16772742378475286</v>
      </c>
      <c r="AQ37" s="3">
        <f t="shared" si="177"/>
        <v>0.18205790906987013</v>
      </c>
      <c r="AR37" s="3">
        <f t="shared" si="177"/>
        <v>0.19669246471011104</v>
      </c>
      <c r="AS37" s="3">
        <f t="shared" si="177"/>
        <v>0.21164132524230797</v>
      </c>
      <c r="BD37" s="3" t="s">
        <v>161</v>
      </c>
      <c r="BE37" s="1">
        <f>+BE36/Main!L4</f>
        <v>33.178122609092895</v>
      </c>
    </row>
    <row r="38" spans="1:57" s="3" customFormat="1" x14ac:dyDescent="0.2">
      <c r="A38" s="3" t="s">
        <v>15</v>
      </c>
      <c r="K38" s="3">
        <f>+K30/K29</f>
        <v>0.26751592356687898</v>
      </c>
      <c r="L38" s="3">
        <f>+L30/L29</f>
        <v>0.21621621621621623</v>
      </c>
      <c r="P38" s="3">
        <f>+P30/P29</f>
        <v>0.23465703971119134</v>
      </c>
      <c r="T38" s="19">
        <f t="shared" ref="T38:AC38" si="178">+T30/T29</f>
        <v>-4.2050784408863015E-3</v>
      </c>
      <c r="U38" s="19">
        <f t="shared" si="178"/>
        <v>-3.6349809885931561E-2</v>
      </c>
      <c r="V38" s="19">
        <f t="shared" si="178"/>
        <v>-6.1041627776740714E-2</v>
      </c>
      <c r="W38" s="3">
        <f t="shared" si="178"/>
        <v>0.26763803680981596</v>
      </c>
      <c r="X38" s="3">
        <f t="shared" si="178"/>
        <v>0.13310344827586207</v>
      </c>
      <c r="Y38" s="3">
        <f t="shared" si="178"/>
        <v>0.21574903969270168</v>
      </c>
      <c r="Z38" s="3">
        <f t="shared" si="178"/>
        <v>0.1834625322997416</v>
      </c>
      <c r="AA38" s="3">
        <f t="shared" si="178"/>
        <v>-0.22103004291845493</v>
      </c>
      <c r="AB38" s="3">
        <f t="shared" si="178"/>
        <v>0.29048843187660667</v>
      </c>
      <c r="AC38" s="3">
        <f t="shared" si="178"/>
        <v>-0.64601769911504425</v>
      </c>
      <c r="AD38" s="3">
        <f t="shared" ref="AD38:AS38" si="179">+AD30/AD29</f>
        <v>0.2</v>
      </c>
      <c r="AE38" s="3">
        <f t="shared" si="179"/>
        <v>0.2</v>
      </c>
      <c r="AF38" s="3">
        <f t="shared" si="179"/>
        <v>0.2</v>
      </c>
      <c r="AG38" s="3">
        <f t="shared" si="179"/>
        <v>0.2</v>
      </c>
      <c r="AH38" s="3">
        <f t="shared" si="179"/>
        <v>0.20000000000000004</v>
      </c>
      <c r="AI38" s="3">
        <f t="shared" si="179"/>
        <v>0.2</v>
      </c>
      <c r="AJ38" s="3">
        <f t="shared" si="179"/>
        <v>0.2</v>
      </c>
      <c r="AK38" s="3">
        <f t="shared" si="179"/>
        <v>0.2</v>
      </c>
      <c r="AL38" s="3">
        <f t="shared" si="179"/>
        <v>0.20000000000000004</v>
      </c>
      <c r="AM38" s="3">
        <f t="shared" si="179"/>
        <v>0.2</v>
      </c>
      <c r="AN38" s="3">
        <f t="shared" si="179"/>
        <v>0.2</v>
      </c>
      <c r="AO38" s="3">
        <f t="shared" si="179"/>
        <v>0.2</v>
      </c>
      <c r="AP38" s="3">
        <f t="shared" si="179"/>
        <v>0.2</v>
      </c>
      <c r="AQ38" s="3">
        <f t="shared" si="179"/>
        <v>0.2</v>
      </c>
      <c r="AR38" s="3">
        <f t="shared" si="179"/>
        <v>0.2</v>
      </c>
      <c r="AS38" s="3">
        <f t="shared" si="179"/>
        <v>0.2</v>
      </c>
      <c r="BE38" s="3">
        <f>+BE37/Main!L3-1</f>
        <v>0.32712490436371588</v>
      </c>
    </row>
    <row r="39" spans="1:57" s="3" customFormat="1" x14ac:dyDescent="0.2"/>
    <row r="40" spans="1:57" s="8" customFormat="1" x14ac:dyDescent="0.2">
      <c r="A40" s="8" t="s">
        <v>16</v>
      </c>
      <c r="F40" s="8">
        <f t="shared" ref="F40:P40" si="180">+F20/B20-1</f>
        <v>2.3778416514240952E-2</v>
      </c>
      <c r="G40" s="8">
        <f t="shared" si="180"/>
        <v>-1.252955082742313E-2</v>
      </c>
      <c r="H40" s="8">
        <f t="shared" si="180"/>
        <v>3.7054860442733428E-2</v>
      </c>
      <c r="I40" s="8">
        <f t="shared" si="180"/>
        <v>0</v>
      </c>
      <c r="J40" s="8">
        <f t="shared" si="180"/>
        <v>6.3552833078101001E-2</v>
      </c>
      <c r="K40" s="8">
        <f t="shared" si="180"/>
        <v>7.014603782619111E-2</v>
      </c>
      <c r="L40" s="8">
        <f t="shared" si="180"/>
        <v>3.7354988399072031E-2</v>
      </c>
      <c r="M40" s="8">
        <f t="shared" si="180"/>
        <v>-6.6396163777204031E-2</v>
      </c>
      <c r="N40" s="8">
        <f t="shared" si="180"/>
        <v>-6.959443244540453E-3</v>
      </c>
      <c r="O40" s="8">
        <f t="shared" si="180"/>
        <v>-1.7897091722595126E-3</v>
      </c>
      <c r="P40" s="8">
        <f t="shared" si="180"/>
        <v>-2.1024379333482446E-2</v>
      </c>
      <c r="T40" s="8" t="e">
        <f t="shared" ref="T40:AC40" si="181">+T20/S20-1</f>
        <v>#DIV/0!</v>
      </c>
      <c r="U40" s="8">
        <f t="shared" si="181"/>
        <v>0.16364646254252579</v>
      </c>
      <c r="V40" s="8">
        <f t="shared" si="181"/>
        <v>3.9439140811455831E-2</v>
      </c>
      <c r="W40" s="8">
        <f t="shared" si="181"/>
        <v>2.0607313013030204E-2</v>
      </c>
      <c r="X40" s="8">
        <f t="shared" si="181"/>
        <v>1.9178852643419564E-2</v>
      </c>
      <c r="Y40" s="8">
        <f t="shared" si="181"/>
        <v>7.5106230340489022E-2</v>
      </c>
      <c r="Z40" s="8">
        <f t="shared" si="181"/>
        <v>2.7204599117134354E-3</v>
      </c>
      <c r="AA40" s="8">
        <f t="shared" si="181"/>
        <v>-0.12178141796775022</v>
      </c>
      <c r="AB40" s="8">
        <f t="shared" si="181"/>
        <v>3.9111681044532443E-2</v>
      </c>
      <c r="AC40" s="8">
        <f t="shared" si="181"/>
        <v>1.9184383238907365E-2</v>
      </c>
      <c r="AD40" s="8">
        <f t="shared" ref="AD40:AS40" si="182">+AD20/AC20-1</f>
        <v>3.0000000000000027E-2</v>
      </c>
      <c r="AE40" s="8">
        <f t="shared" si="182"/>
        <v>3.0000000000000027E-2</v>
      </c>
      <c r="AF40" s="8">
        <f t="shared" si="182"/>
        <v>3.0000000000000027E-2</v>
      </c>
      <c r="AG40" s="8">
        <f t="shared" si="182"/>
        <v>3.0000000000000027E-2</v>
      </c>
      <c r="AH40" s="8">
        <f t="shared" si="182"/>
        <v>3.0000000000000027E-2</v>
      </c>
      <c r="AI40" s="8">
        <f t="shared" si="182"/>
        <v>3.0000000000000027E-2</v>
      </c>
      <c r="AJ40" s="8">
        <f t="shared" si="182"/>
        <v>3.0000000000000027E-2</v>
      </c>
      <c r="AK40" s="8">
        <f t="shared" si="182"/>
        <v>3.0000000000000027E-2</v>
      </c>
      <c r="AL40" s="8">
        <f t="shared" si="182"/>
        <v>3.0000000000000027E-2</v>
      </c>
      <c r="AM40" s="8">
        <f t="shared" si="182"/>
        <v>3.0000000000000027E-2</v>
      </c>
      <c r="AN40" s="8">
        <f t="shared" si="182"/>
        <v>3.0000000000000027E-2</v>
      </c>
      <c r="AO40" s="8">
        <f t="shared" si="182"/>
        <v>3.0000000000000027E-2</v>
      </c>
      <c r="AP40" s="8">
        <f t="shared" si="182"/>
        <v>3.0000000000000027E-2</v>
      </c>
      <c r="AQ40" s="8">
        <f t="shared" si="182"/>
        <v>3.0000000000000027E-2</v>
      </c>
      <c r="AR40" s="8">
        <f t="shared" si="182"/>
        <v>3.0000000000000027E-2</v>
      </c>
      <c r="AS40" s="8">
        <f t="shared" si="182"/>
        <v>3.0000000000000027E-2</v>
      </c>
    </row>
    <row r="42" spans="1:57" x14ac:dyDescent="0.2">
      <c r="A42" s="1" t="s">
        <v>52</v>
      </c>
      <c r="I42" s="1">
        <f>+I52-I57</f>
        <v>-7029</v>
      </c>
      <c r="K42" s="1">
        <f t="shared" ref="K42:P42" si="183">+K52-K57</f>
        <v>-7256</v>
      </c>
      <c r="L42" s="1">
        <f t="shared" si="183"/>
        <v>-7110</v>
      </c>
      <c r="M42" s="1">
        <f t="shared" si="183"/>
        <v>-5820</v>
      </c>
      <c r="N42" s="1">
        <f t="shared" si="183"/>
        <v>-6335</v>
      </c>
      <c r="O42" s="1">
        <f t="shared" si="183"/>
        <v>-6459</v>
      </c>
      <c r="P42" s="1">
        <f t="shared" si="183"/>
        <v>-6520</v>
      </c>
      <c r="AC42" s="1">
        <f>+P42</f>
        <v>-6520</v>
      </c>
      <c r="AD42" s="1">
        <f>+AC42+AD31</f>
        <v>-6226.0688000000009</v>
      </c>
      <c r="AE42" s="1">
        <f t="shared" ref="AE42:AO42" si="184">+AD42+AE31</f>
        <v>-5698.5794016000027</v>
      </c>
      <c r="AF42" s="1">
        <f t="shared" si="184"/>
        <v>-4920.091685510406</v>
      </c>
      <c r="AG42" s="1">
        <f t="shared" si="184"/>
        <v>-3872.2343453335498</v>
      </c>
      <c r="AH42" s="1">
        <f t="shared" si="184"/>
        <v>-2535.6620038575684</v>
      </c>
      <c r="AI42" s="1">
        <f t="shared" si="184"/>
        <v>-890.01051968244269</v>
      </c>
      <c r="AJ42" s="1">
        <f t="shared" si="184"/>
        <v>1086.14958752183</v>
      </c>
      <c r="AK42" s="1">
        <f t="shared" si="184"/>
        <v>3415.3616675141984</v>
      </c>
      <c r="AL42" s="1">
        <f t="shared" si="184"/>
        <v>6121.3335029121354</v>
      </c>
      <c r="AM42" s="1">
        <f t="shared" si="184"/>
        <v>9228.9899856078719</v>
      </c>
      <c r="AN42" s="1">
        <f t="shared" si="184"/>
        <v>12764.527989211459</v>
      </c>
      <c r="AO42" s="1">
        <f t="shared" si="184"/>
        <v>16755.473523649689</v>
      </c>
      <c r="AP42" s="1">
        <f>+(AO42*1.02)+AP31</f>
        <v>21565.850731720067</v>
      </c>
      <c r="AQ42" s="1">
        <f t="shared" ref="AQ42:AS42" si="185">+(AP42*1.02)+AQ31</f>
        <v>27000.527390850242</v>
      </c>
      <c r="AR42" s="1">
        <f t="shared" si="185"/>
        <v>33108.254494871187</v>
      </c>
      <c r="AS42" s="1">
        <f t="shared" si="185"/>
        <v>39941.015289251678</v>
      </c>
    </row>
    <row r="43" spans="1:57" x14ac:dyDescent="0.2">
      <c r="A43" s="1" t="s">
        <v>53</v>
      </c>
      <c r="I43" s="1">
        <v>2638</v>
      </c>
      <c r="K43" s="1">
        <v>2519</v>
      </c>
      <c r="M43" s="1">
        <v>2483</v>
      </c>
      <c r="O43" s="1">
        <v>2466</v>
      </c>
      <c r="AB43" s="3"/>
    </row>
    <row r="44" spans="1:57" x14ac:dyDescent="0.2">
      <c r="A44" s="1" t="s">
        <v>54</v>
      </c>
      <c r="I44" s="1">
        <f>10238+3526</f>
        <v>13764</v>
      </c>
      <c r="K44" s="1">
        <f>10028+3335</f>
        <v>13363</v>
      </c>
      <c r="M44" s="1">
        <f>9876+3190</f>
        <v>13066</v>
      </c>
      <c r="O44" s="1">
        <f>10153+3173</f>
        <v>13326</v>
      </c>
    </row>
    <row r="45" spans="1:57" x14ac:dyDescent="0.2">
      <c r="A45" s="1" t="s">
        <v>55</v>
      </c>
      <c r="I45" s="1">
        <v>4394</v>
      </c>
      <c r="K45" s="1">
        <v>3895</v>
      </c>
      <c r="M45" s="1">
        <v>3926</v>
      </c>
      <c r="O45" s="1">
        <v>3987</v>
      </c>
    </row>
    <row r="46" spans="1:57" x14ac:dyDescent="0.2">
      <c r="A46" s="1" t="s">
        <v>56</v>
      </c>
      <c r="I46" s="1">
        <v>537</v>
      </c>
      <c r="K46" s="1">
        <v>466</v>
      </c>
      <c r="M46" s="1">
        <v>381</v>
      </c>
      <c r="O46" s="1">
        <v>289</v>
      </c>
    </row>
    <row r="47" spans="1:57" x14ac:dyDescent="0.2">
      <c r="A47" s="1" t="s">
        <v>57</v>
      </c>
      <c r="I47" s="1">
        <v>671</v>
      </c>
      <c r="K47" s="1">
        <v>644</v>
      </c>
      <c r="M47" s="1">
        <v>622</v>
      </c>
      <c r="O47" s="1">
        <v>628</v>
      </c>
    </row>
    <row r="48" spans="1:57" x14ac:dyDescent="0.2">
      <c r="A48" s="1" t="s">
        <v>58</v>
      </c>
      <c r="I48" s="1">
        <v>127</v>
      </c>
      <c r="K48" s="1">
        <v>76</v>
      </c>
      <c r="M48" s="1">
        <v>48</v>
      </c>
      <c r="O48" s="1">
        <v>71</v>
      </c>
    </row>
    <row r="49" spans="1:16" x14ac:dyDescent="0.2">
      <c r="A49" s="1" t="s">
        <v>59</v>
      </c>
      <c r="I49" s="1">
        <v>2449</v>
      </c>
      <c r="K49" s="1">
        <v>2476</v>
      </c>
      <c r="M49" s="1">
        <v>2627</v>
      </c>
      <c r="O49" s="1">
        <v>2375</v>
      </c>
    </row>
    <row r="50" spans="1:16" x14ac:dyDescent="0.2">
      <c r="A50" s="1" t="s">
        <v>8</v>
      </c>
      <c r="I50" s="1">
        <v>222</v>
      </c>
      <c r="K50" s="1">
        <v>244</v>
      </c>
      <c r="M50" s="1">
        <v>220</v>
      </c>
      <c r="O50" s="1">
        <v>105</v>
      </c>
    </row>
    <row r="51" spans="1:16" x14ac:dyDescent="0.2">
      <c r="A51" s="1" t="s">
        <v>60</v>
      </c>
      <c r="I51" s="1">
        <v>4049</v>
      </c>
      <c r="K51" s="1">
        <v>4095</v>
      </c>
      <c r="M51" s="1">
        <v>3491</v>
      </c>
      <c r="O51" s="1">
        <v>3612</v>
      </c>
    </row>
    <row r="52" spans="1:16" x14ac:dyDescent="0.2">
      <c r="A52" s="1" t="s">
        <v>35</v>
      </c>
      <c r="I52" s="1">
        <v>1172</v>
      </c>
      <c r="K52" s="1">
        <v>960</v>
      </c>
      <c r="L52" s="1">
        <v>1155</v>
      </c>
      <c r="M52" s="1">
        <v>1869</v>
      </c>
      <c r="N52" s="1">
        <v>1402</v>
      </c>
      <c r="O52" s="1">
        <v>1807</v>
      </c>
      <c r="P52" s="1">
        <v>1512</v>
      </c>
    </row>
    <row r="53" spans="1:16" x14ac:dyDescent="0.2">
      <c r="A53" s="1" t="s">
        <v>61</v>
      </c>
      <c r="I53" s="1">
        <v>490</v>
      </c>
      <c r="K53" s="1">
        <v>644</v>
      </c>
      <c r="M53" s="1">
        <v>500</v>
      </c>
      <c r="O53" s="1">
        <v>648</v>
      </c>
    </row>
    <row r="54" spans="1:16" x14ac:dyDescent="0.2">
      <c r="A54" s="1" t="s">
        <v>62</v>
      </c>
      <c r="I54" s="1">
        <v>98</v>
      </c>
      <c r="K54" s="1">
        <v>86</v>
      </c>
      <c r="M54" s="1">
        <v>93</v>
      </c>
      <c r="O54" s="1">
        <v>93</v>
      </c>
    </row>
    <row r="55" spans="1:16" x14ac:dyDescent="0.2">
      <c r="A55" s="1" t="s">
        <v>68</v>
      </c>
      <c r="I55" s="1">
        <v>77</v>
      </c>
      <c r="K55" s="1">
        <v>39</v>
      </c>
      <c r="M55" s="1">
        <v>79</v>
      </c>
      <c r="O55" s="1">
        <v>66</v>
      </c>
    </row>
    <row r="56" spans="1:16" s="7" customFormat="1" x14ac:dyDescent="0.2">
      <c r="A56" s="7" t="s">
        <v>63</v>
      </c>
      <c r="I56" s="7">
        <f>+SUM(I43:I55)</f>
        <v>30688</v>
      </c>
      <c r="K56" s="7">
        <f>+SUM(K43:K55)</f>
        <v>29507</v>
      </c>
      <c r="M56" s="7">
        <f>+SUM(M43:M55)</f>
        <v>29405</v>
      </c>
      <c r="O56" s="7">
        <f>+SUM(O43:O55)</f>
        <v>29473</v>
      </c>
    </row>
    <row r="57" spans="1:16" x14ac:dyDescent="0.2">
      <c r="A57" s="1" t="s">
        <v>36</v>
      </c>
      <c r="I57" s="1">
        <v>8201</v>
      </c>
      <c r="K57" s="1">
        <v>8216</v>
      </c>
      <c r="L57" s="1">
        <v>8265</v>
      </c>
      <c r="M57" s="1">
        <v>7689</v>
      </c>
      <c r="N57" s="1">
        <v>7737</v>
      </c>
      <c r="O57" s="1">
        <f>7137+1129</f>
        <v>8266</v>
      </c>
      <c r="P57" s="1">
        <v>8032</v>
      </c>
    </row>
    <row r="58" spans="1:16" x14ac:dyDescent="0.2">
      <c r="A58" s="1" t="s">
        <v>58</v>
      </c>
      <c r="I58" s="1">
        <v>211</v>
      </c>
      <c r="K58" s="1">
        <v>49</v>
      </c>
      <c r="M58" s="1">
        <v>43</v>
      </c>
      <c r="O58" s="1">
        <f>2+42</f>
        <v>44</v>
      </c>
    </row>
    <row r="59" spans="1:16" x14ac:dyDescent="0.2">
      <c r="A59" s="1" t="s">
        <v>64</v>
      </c>
      <c r="I59" s="1">
        <v>2115</v>
      </c>
      <c r="K59" s="1">
        <v>2441</v>
      </c>
      <c r="M59" s="1">
        <v>2498</v>
      </c>
      <c r="O59" s="1">
        <f>961+1956</f>
        <v>2917</v>
      </c>
    </row>
    <row r="60" spans="1:16" x14ac:dyDescent="0.2">
      <c r="A60" s="1" t="s">
        <v>59</v>
      </c>
      <c r="I60" s="1">
        <v>91</v>
      </c>
      <c r="K60" s="1">
        <v>67</v>
      </c>
      <c r="M60" s="1">
        <v>71</v>
      </c>
      <c r="O60" s="1">
        <v>73</v>
      </c>
    </row>
    <row r="61" spans="1:16" x14ac:dyDescent="0.2">
      <c r="A61" s="1" t="s">
        <v>75</v>
      </c>
      <c r="I61" s="1">
        <v>435</v>
      </c>
      <c r="K61" s="1">
        <v>423</v>
      </c>
      <c r="M61" s="1">
        <v>390</v>
      </c>
      <c r="O61" s="1">
        <v>132</v>
      </c>
    </row>
    <row r="62" spans="1:16" x14ac:dyDescent="0.2">
      <c r="A62" s="1" t="s">
        <v>8</v>
      </c>
      <c r="I62" s="1">
        <v>40</v>
      </c>
      <c r="K62" s="1">
        <v>92</v>
      </c>
      <c r="M62" s="1">
        <v>83</v>
      </c>
      <c r="O62" s="1">
        <v>163</v>
      </c>
    </row>
    <row r="63" spans="1:16" x14ac:dyDescent="0.2">
      <c r="A63" s="1" t="s">
        <v>65</v>
      </c>
      <c r="I63" s="1">
        <v>2211</v>
      </c>
      <c r="K63" s="1">
        <v>2363</v>
      </c>
      <c r="M63" s="1">
        <v>2278</v>
      </c>
      <c r="O63" s="1">
        <f>446+1816</f>
        <v>2262</v>
      </c>
    </row>
    <row r="64" spans="1:16" x14ac:dyDescent="0.2">
      <c r="A64" s="1" t="s">
        <v>66</v>
      </c>
      <c r="I64" s="1">
        <v>1968</v>
      </c>
      <c r="K64" s="1">
        <v>1646</v>
      </c>
      <c r="M64" s="1">
        <v>1917</v>
      </c>
      <c r="O64" s="1">
        <v>1850</v>
      </c>
    </row>
    <row r="65" spans="1:16" x14ac:dyDescent="0.2">
      <c r="A65" s="1" t="s">
        <v>74</v>
      </c>
      <c r="I65" s="1">
        <v>1626</v>
      </c>
      <c r="K65" s="1">
        <v>1558</v>
      </c>
      <c r="M65" s="1">
        <v>1887</v>
      </c>
      <c r="O65" s="1">
        <v>1485</v>
      </c>
    </row>
    <row r="66" spans="1:16" x14ac:dyDescent="0.2">
      <c r="A66" s="1" t="s">
        <v>67</v>
      </c>
      <c r="I66" s="1">
        <v>0</v>
      </c>
      <c r="K66" s="1">
        <v>56</v>
      </c>
      <c r="M66" s="1">
        <v>11</v>
      </c>
      <c r="O66" s="1">
        <v>0</v>
      </c>
    </row>
    <row r="67" spans="1:16" x14ac:dyDescent="0.2">
      <c r="A67" s="1" t="s">
        <v>68</v>
      </c>
      <c r="I67" s="1">
        <v>0</v>
      </c>
      <c r="K67" s="1">
        <v>6</v>
      </c>
      <c r="M67" s="1">
        <v>9</v>
      </c>
      <c r="O67" s="1">
        <v>9</v>
      </c>
    </row>
    <row r="68" spans="1:16" x14ac:dyDescent="0.2">
      <c r="A68" s="1" t="s">
        <v>69</v>
      </c>
      <c r="I68" s="1">
        <v>448</v>
      </c>
      <c r="K68" s="1">
        <v>383</v>
      </c>
      <c r="M68" s="1">
        <v>414</v>
      </c>
      <c r="O68" s="1">
        <v>312</v>
      </c>
    </row>
    <row r="69" spans="1:16" x14ac:dyDescent="0.2">
      <c r="A69" s="1" t="s">
        <v>70</v>
      </c>
      <c r="I69" s="1">
        <v>60</v>
      </c>
      <c r="K69" s="1">
        <v>45</v>
      </c>
      <c r="M69" s="1">
        <v>54</v>
      </c>
      <c r="O69" s="1">
        <v>43</v>
      </c>
    </row>
    <row r="70" spans="1:16" s="7" customFormat="1" x14ac:dyDescent="0.2">
      <c r="A70" s="7" t="s">
        <v>71</v>
      </c>
      <c r="I70" s="7">
        <f>+SUM(I57:I69)</f>
        <v>17406</v>
      </c>
      <c r="K70" s="7">
        <f>+SUM(K57:K69)</f>
        <v>17345</v>
      </c>
      <c r="M70" s="7">
        <f>+SUM(M57:M69)</f>
        <v>17344</v>
      </c>
      <c r="O70" s="7">
        <f>+SUM(O57:O69)</f>
        <v>17556</v>
      </c>
    </row>
    <row r="71" spans="1:16" x14ac:dyDescent="0.2">
      <c r="A71" s="1" t="s">
        <v>72</v>
      </c>
      <c r="I71" s="1">
        <v>13283</v>
      </c>
      <c r="K71" s="1">
        <v>12160</v>
      </c>
      <c r="L71" s="1">
        <v>11919</v>
      </c>
      <c r="M71" s="1">
        <v>12061</v>
      </c>
      <c r="N71" s="1">
        <v>11392</v>
      </c>
      <c r="O71" s="1">
        <v>11919</v>
      </c>
      <c r="P71" s="1">
        <v>11470</v>
      </c>
    </row>
    <row r="72" spans="1:16" x14ac:dyDescent="0.2">
      <c r="A72" s="1" t="s">
        <v>73</v>
      </c>
      <c r="I72" s="1">
        <f>+I71+I70</f>
        <v>30689</v>
      </c>
      <c r="K72" s="1">
        <f>+K71+K70</f>
        <v>29505</v>
      </c>
      <c r="M72" s="1">
        <f>+M71+M70</f>
        <v>29405</v>
      </c>
      <c r="O72" s="1">
        <f>+O71+O70</f>
        <v>29475</v>
      </c>
    </row>
    <row r="74" spans="1:16" x14ac:dyDescent="0.2">
      <c r="A74" s="1" t="s">
        <v>162</v>
      </c>
      <c r="F74" s="1">
        <f t="shared" ref="F74:G74" si="186">+SUM(C31:F31)</f>
        <v>273</v>
      </c>
      <c r="G74" s="1">
        <f t="shared" si="186"/>
        <v>113</v>
      </c>
      <c r="H74" s="1">
        <f>+SUM(E31:H31)</f>
        <v>-410</v>
      </c>
      <c r="I74" s="1">
        <f>+SUM(F31:I31)</f>
        <v>-410</v>
      </c>
      <c r="J74" s="1">
        <f t="shared" ref="J74:N74" si="187">+SUM(G31:J31)</f>
        <v>-186</v>
      </c>
      <c r="K74" s="1">
        <f t="shared" si="187"/>
        <v>-18</v>
      </c>
      <c r="L74" s="1">
        <f t="shared" si="187"/>
        <v>202</v>
      </c>
      <c r="M74" s="1">
        <f t="shared" si="187"/>
        <v>185</v>
      </c>
      <c r="N74" s="1">
        <f t="shared" si="187"/>
        <v>247</v>
      </c>
      <c r="O74" s="1">
        <f>+SUM(L31:O31)</f>
        <v>-1</v>
      </c>
      <c r="P74" s="1">
        <f>+SUM(M31:P31)</f>
        <v>95</v>
      </c>
    </row>
    <row r="75" spans="1:16" s="3" customFormat="1" x14ac:dyDescent="0.2">
      <c r="A75" s="3" t="s">
        <v>163</v>
      </c>
      <c r="I75" s="14">
        <f t="shared" ref="I75:M75" si="188">+I74/(I43+I45+I46+I47+I48+I49+I50+I51+I53+I54+I55)</f>
        <v>-2.6028440832910105E-2</v>
      </c>
      <c r="J75" s="14"/>
      <c r="K75" s="14">
        <f t="shared" si="188"/>
        <v>-1.1854583772391992E-3</v>
      </c>
      <c r="L75" s="14"/>
      <c r="M75" s="14">
        <f t="shared" si="188"/>
        <v>1.2785072563925363E-2</v>
      </c>
      <c r="N75" s="14"/>
      <c r="O75" s="14">
        <f>+O74/(O43+O45+O46+O47+O48+O49+O50+O51+O53+O54+O55)</f>
        <v>-6.9735006973500698E-5</v>
      </c>
    </row>
    <row r="77" spans="1:16" x14ac:dyDescent="0.2">
      <c r="A77" s="1" t="s">
        <v>76</v>
      </c>
      <c r="G77" s="1">
        <f>+G31</f>
        <v>-53</v>
      </c>
      <c r="I77" s="1">
        <f>+E31</f>
        <v>44</v>
      </c>
      <c r="K77" s="1">
        <f>+K31</f>
        <v>115</v>
      </c>
      <c r="M77" s="1">
        <f>+M31</f>
        <v>27</v>
      </c>
      <c r="O77" s="1">
        <f>+O31</f>
        <v>-133</v>
      </c>
    </row>
    <row r="78" spans="1:16" x14ac:dyDescent="0.2">
      <c r="A78" s="1" t="s">
        <v>77</v>
      </c>
      <c r="G78" s="1">
        <v>-171</v>
      </c>
      <c r="I78" s="1">
        <f>-1605-G78</f>
        <v>-1434</v>
      </c>
      <c r="K78" s="1">
        <v>-591</v>
      </c>
      <c r="M78" s="1">
        <f>-463-K78</f>
        <v>128</v>
      </c>
      <c r="O78" s="1">
        <v>-546</v>
      </c>
    </row>
    <row r="79" spans="1:16" x14ac:dyDescent="0.2">
      <c r="A79" s="1" t="s">
        <v>78</v>
      </c>
      <c r="G79" s="1">
        <v>-4</v>
      </c>
      <c r="I79" s="1">
        <f>-13-G79</f>
        <v>-9</v>
      </c>
      <c r="K79" s="1">
        <v>2</v>
      </c>
      <c r="M79" s="1">
        <f>10-K79</f>
        <v>8</v>
      </c>
      <c r="O79" s="1">
        <v>-142</v>
      </c>
    </row>
    <row r="80" spans="1:16" x14ac:dyDescent="0.2">
      <c r="A80" s="1" t="s">
        <v>79</v>
      </c>
      <c r="G80" s="1">
        <v>696</v>
      </c>
      <c r="I80" s="1">
        <f>1602-G80</f>
        <v>906</v>
      </c>
      <c r="K80" s="1">
        <v>615</v>
      </c>
      <c r="M80" s="1">
        <f>1261-K80</f>
        <v>646</v>
      </c>
      <c r="O80" s="1">
        <v>638</v>
      </c>
    </row>
    <row r="81" spans="1:15" x14ac:dyDescent="0.2">
      <c r="A81" s="1" t="s">
        <v>105</v>
      </c>
      <c r="G81" s="1">
        <v>0</v>
      </c>
      <c r="I81" s="1">
        <f>1357-G82</f>
        <v>1318</v>
      </c>
      <c r="K81" s="1">
        <v>0</v>
      </c>
      <c r="M81" s="1">
        <f>8-K81</f>
        <v>8</v>
      </c>
    </row>
    <row r="82" spans="1:15" x14ac:dyDescent="0.2">
      <c r="A82" s="1" t="s">
        <v>80</v>
      </c>
      <c r="G82" s="1">
        <v>39</v>
      </c>
      <c r="I82" s="1">
        <f>95-G83</f>
        <v>105</v>
      </c>
      <c r="K82" s="1">
        <v>34</v>
      </c>
      <c r="M82" s="1">
        <f>88-K82</f>
        <v>54</v>
      </c>
      <c r="O82" s="1">
        <v>38</v>
      </c>
    </row>
    <row r="83" spans="1:15" x14ac:dyDescent="0.2">
      <c r="A83" s="1" t="s">
        <v>81</v>
      </c>
      <c r="G83" s="1">
        <v>-10</v>
      </c>
      <c r="I83" s="1">
        <f>-115-G84</f>
        <v>-98</v>
      </c>
      <c r="K83" s="1">
        <v>-11</v>
      </c>
      <c r="M83" s="1">
        <f>-71-K83</f>
        <v>-60</v>
      </c>
      <c r="O83" s="1">
        <v>-2</v>
      </c>
    </row>
    <row r="84" spans="1:15" x14ac:dyDescent="0.2">
      <c r="A84" s="1" t="s">
        <v>6</v>
      </c>
      <c r="G84" s="1">
        <v>-17</v>
      </c>
      <c r="I84" s="1">
        <f>-25-G85</f>
        <v>-116</v>
      </c>
      <c r="K84" s="1">
        <v>-19</v>
      </c>
      <c r="M84" s="1">
        <f>-46-K84</f>
        <v>-27</v>
      </c>
      <c r="O84" s="1">
        <v>-36</v>
      </c>
    </row>
    <row r="85" spans="1:15" x14ac:dyDescent="0.2">
      <c r="A85" s="1" t="s">
        <v>82</v>
      </c>
      <c r="G85" s="1">
        <v>91</v>
      </c>
      <c r="I85" s="1">
        <f>226-G86</f>
        <v>208</v>
      </c>
      <c r="K85" s="1">
        <v>122</v>
      </c>
      <c r="M85" s="1">
        <f>255-K85</f>
        <v>133</v>
      </c>
      <c r="O85" s="1">
        <v>130</v>
      </c>
    </row>
    <row r="86" spans="1:15" x14ac:dyDescent="0.2">
      <c r="A86" s="1" t="s">
        <v>56</v>
      </c>
      <c r="G86" s="1">
        <v>18</v>
      </c>
      <c r="I86" s="1">
        <f>112-G86</f>
        <v>94</v>
      </c>
      <c r="K86" s="1">
        <v>62</v>
      </c>
      <c r="M86" s="1">
        <f>107-K86</f>
        <v>45</v>
      </c>
      <c r="O86" s="1">
        <v>94</v>
      </c>
    </row>
    <row r="87" spans="1:15" x14ac:dyDescent="0.2">
      <c r="A87" s="1" t="s">
        <v>83</v>
      </c>
      <c r="G87" s="1">
        <v>-77</v>
      </c>
      <c r="I87" s="1">
        <f>-113-G87</f>
        <v>-36</v>
      </c>
      <c r="K87" s="1">
        <v>28</v>
      </c>
      <c r="M87" s="1">
        <f>-71-K87</f>
        <v>-99</v>
      </c>
      <c r="O87" s="1">
        <v>449</v>
      </c>
    </row>
    <row r="88" spans="1:15" x14ac:dyDescent="0.2">
      <c r="A88" s="1" t="s">
        <v>84</v>
      </c>
      <c r="G88" s="1">
        <v>187</v>
      </c>
      <c r="I88" s="1">
        <f>-342-G89</f>
        <v>165</v>
      </c>
      <c r="K88" s="1">
        <v>330</v>
      </c>
      <c r="M88" s="1">
        <f>298-K88</f>
        <v>-32</v>
      </c>
      <c r="O88" s="1">
        <v>-241</v>
      </c>
    </row>
    <row r="89" spans="1:15" x14ac:dyDescent="0.2">
      <c r="A89" s="1" t="s">
        <v>60</v>
      </c>
      <c r="G89" s="1">
        <v>-507</v>
      </c>
      <c r="I89" s="1">
        <f>-572-G89</f>
        <v>-65</v>
      </c>
      <c r="K89" s="1">
        <v>-233</v>
      </c>
      <c r="M89" s="1">
        <f>257-K89</f>
        <v>490</v>
      </c>
      <c r="O89" s="1">
        <v>-141</v>
      </c>
    </row>
    <row r="90" spans="1:15" x14ac:dyDescent="0.2">
      <c r="A90" s="1" t="s">
        <v>66</v>
      </c>
      <c r="G90" s="1">
        <v>-162</v>
      </c>
      <c r="I90" s="1">
        <f>52-G90</f>
        <v>214</v>
      </c>
      <c r="K90" s="1">
        <v>-245</v>
      </c>
      <c r="M90" s="1">
        <f>358-K90</f>
        <v>603</v>
      </c>
      <c r="O90" s="1">
        <v>-601</v>
      </c>
    </row>
    <row r="91" spans="1:15" x14ac:dyDescent="0.2">
      <c r="A91" s="1" t="s">
        <v>85</v>
      </c>
      <c r="G91" s="1">
        <v>-8</v>
      </c>
      <c r="I91" s="1">
        <f>1-G91</f>
        <v>9</v>
      </c>
      <c r="K91" s="1">
        <v>21</v>
      </c>
      <c r="M91" s="1">
        <f>-33-K91</f>
        <v>-54</v>
      </c>
      <c r="O91" s="1">
        <v>42</v>
      </c>
    </row>
    <row r="92" spans="1:15" x14ac:dyDescent="0.2">
      <c r="A92" s="1" t="s">
        <v>86</v>
      </c>
      <c r="G92" s="1">
        <v>-117</v>
      </c>
      <c r="I92" s="1">
        <f>-84-G92</f>
        <v>33</v>
      </c>
      <c r="K92" s="1">
        <v>-25</v>
      </c>
      <c r="M92" s="1">
        <f>-38-K92</f>
        <v>-13</v>
      </c>
      <c r="O92" s="1">
        <v>-34</v>
      </c>
    </row>
    <row r="93" spans="1:15" x14ac:dyDescent="0.2">
      <c r="A93" s="1" t="s">
        <v>64</v>
      </c>
      <c r="G93" s="1">
        <v>-115</v>
      </c>
      <c r="I93" s="1">
        <f>-199-G93</f>
        <v>-84</v>
      </c>
      <c r="K93" s="1">
        <v>379</v>
      </c>
      <c r="M93" s="1">
        <f>422-K93</f>
        <v>43</v>
      </c>
      <c r="O93" s="1">
        <v>353</v>
      </c>
    </row>
    <row r="94" spans="1:15" x14ac:dyDescent="0.2">
      <c r="A94" s="1" t="s">
        <v>87</v>
      </c>
      <c r="G94" s="1">
        <v>-27</v>
      </c>
      <c r="I94" s="1">
        <f>-39-G94</f>
        <v>-12</v>
      </c>
      <c r="K94" s="1">
        <v>78</v>
      </c>
      <c r="M94" s="1">
        <f>129-K94</f>
        <v>51</v>
      </c>
      <c r="O94" s="1">
        <v>57</v>
      </c>
    </row>
    <row r="95" spans="1:15" x14ac:dyDescent="0.2">
      <c r="A95" s="1" t="s">
        <v>88</v>
      </c>
      <c r="G95" s="1">
        <v>8</v>
      </c>
      <c r="I95" s="1">
        <f>15-G95</f>
        <v>7</v>
      </c>
      <c r="K95" s="1">
        <v>15</v>
      </c>
      <c r="M95" s="1">
        <f>53-K95</f>
        <v>38</v>
      </c>
      <c r="O95" s="1">
        <v>35</v>
      </c>
    </row>
    <row r="96" spans="1:15" x14ac:dyDescent="0.2">
      <c r="A96" s="1" t="s">
        <v>89</v>
      </c>
      <c r="G96" s="1">
        <v>-103</v>
      </c>
      <c r="I96" s="1">
        <f>-205-G96</f>
        <v>-102</v>
      </c>
      <c r="K96" s="1">
        <v>-143</v>
      </c>
      <c r="M96" s="1">
        <f>-250-K96</f>
        <v>-107</v>
      </c>
      <c r="O96" s="1">
        <v>-138</v>
      </c>
    </row>
    <row r="97" spans="1:29" x14ac:dyDescent="0.2">
      <c r="A97" s="1" t="s">
        <v>90</v>
      </c>
      <c r="G97" s="1">
        <v>4</v>
      </c>
      <c r="I97" s="1">
        <f>12-G97</f>
        <v>8</v>
      </c>
      <c r="K97" s="1">
        <v>8</v>
      </c>
      <c r="M97" s="1">
        <f>13-K97</f>
        <v>5</v>
      </c>
      <c r="O97" s="1">
        <v>7</v>
      </c>
    </row>
    <row r="98" spans="1:29" x14ac:dyDescent="0.2">
      <c r="A98" s="1" t="s">
        <v>83</v>
      </c>
      <c r="G98" s="1">
        <v>-258</v>
      </c>
      <c r="I98" s="1">
        <f>-333-G98</f>
        <v>-75</v>
      </c>
      <c r="K98" s="1">
        <v>-89</v>
      </c>
      <c r="M98" s="1">
        <f>-152-K98</f>
        <v>-63</v>
      </c>
      <c r="O98" s="1">
        <v>-45</v>
      </c>
    </row>
    <row r="99" spans="1:29" s="7" customFormat="1" x14ac:dyDescent="0.2">
      <c r="A99" s="7" t="s">
        <v>91</v>
      </c>
      <c r="G99" s="7">
        <f>+SUM(G78:G98)</f>
        <v>-533</v>
      </c>
      <c r="I99" s="7">
        <f>+SUM(I78:I98)</f>
        <v>1036</v>
      </c>
      <c r="J99" s="7">
        <v>202</v>
      </c>
      <c r="K99" s="7">
        <f>+SUM(K78:K98)</f>
        <v>338</v>
      </c>
      <c r="L99" s="7">
        <v>489</v>
      </c>
      <c r="M99" s="7">
        <f>+AC99-SUM(J99:L99)</f>
        <v>1107</v>
      </c>
      <c r="N99" s="7">
        <v>-171</v>
      </c>
      <c r="O99" s="7">
        <f>+SUM(O78:O98)</f>
        <v>-83</v>
      </c>
      <c r="P99" s="7">
        <v>192</v>
      </c>
      <c r="W99" s="7">
        <v>1870</v>
      </c>
      <c r="X99" s="7">
        <v>1780</v>
      </c>
      <c r="Y99" s="7">
        <v>2031</v>
      </c>
      <c r="Z99" s="7">
        <v>2777</v>
      </c>
      <c r="AA99" s="7">
        <v>1629</v>
      </c>
      <c r="AB99" s="7">
        <v>-173</v>
      </c>
      <c r="AC99" s="7">
        <v>2136</v>
      </c>
    </row>
    <row r="101" spans="1:29" s="7" customFormat="1" x14ac:dyDescent="0.2">
      <c r="A101" s="7" t="s">
        <v>92</v>
      </c>
      <c r="J101" s="7">
        <v>-85</v>
      </c>
      <c r="K101" s="7">
        <v>-216</v>
      </c>
      <c r="L101" s="7">
        <v>-156</v>
      </c>
      <c r="M101" s="7">
        <f>+AC101-SUM(J101:L101)</f>
        <v>-97</v>
      </c>
      <c r="N101" s="7">
        <v>-165</v>
      </c>
      <c r="O101" s="7">
        <v>-318</v>
      </c>
      <c r="P101" s="7">
        <v>-170</v>
      </c>
      <c r="W101" s="7">
        <v>-685</v>
      </c>
      <c r="X101" s="7">
        <v>-796</v>
      </c>
      <c r="Y101" s="7">
        <v>-978</v>
      </c>
      <c r="Z101" s="7">
        <v>-924</v>
      </c>
      <c r="AA101" s="7">
        <v>-729</v>
      </c>
      <c r="AB101" s="7">
        <v>-788</v>
      </c>
      <c r="AC101" s="7">
        <v>-554</v>
      </c>
    </row>
    <row r="102" spans="1:29" x14ac:dyDescent="0.2">
      <c r="A102" s="1" t="s">
        <v>94</v>
      </c>
    </row>
    <row r="103" spans="1:29" x14ac:dyDescent="0.2">
      <c r="A103" s="1" t="s">
        <v>95</v>
      </c>
    </row>
    <row r="104" spans="1:29" x14ac:dyDescent="0.2">
      <c r="A104" s="1" t="s">
        <v>96</v>
      </c>
    </row>
    <row r="105" spans="1:29" x14ac:dyDescent="0.2">
      <c r="A105" s="1" t="s">
        <v>97</v>
      </c>
    </row>
    <row r="106" spans="1:29" x14ac:dyDescent="0.2">
      <c r="A106" s="1" t="s">
        <v>98</v>
      </c>
    </row>
    <row r="108" spans="1:29" x14ac:dyDescent="0.2">
      <c r="A108" s="1" t="s">
        <v>36</v>
      </c>
    </row>
    <row r="109" spans="1:29" x14ac:dyDescent="0.2">
      <c r="A109" s="1" t="s">
        <v>99</v>
      </c>
    </row>
    <row r="110" spans="1:29" x14ac:dyDescent="0.2">
      <c r="A110" s="1" t="s">
        <v>100</v>
      </c>
    </row>
    <row r="111" spans="1:29" x14ac:dyDescent="0.2">
      <c r="A111" s="1" t="s">
        <v>101</v>
      </c>
    </row>
    <row r="113" spans="1:29" x14ac:dyDescent="0.2">
      <c r="A113" s="1" t="s">
        <v>102</v>
      </c>
    </row>
    <row r="114" spans="1:29" x14ac:dyDescent="0.2">
      <c r="A114" s="1" t="s">
        <v>103</v>
      </c>
    </row>
    <row r="116" spans="1:29" s="7" customFormat="1" x14ac:dyDescent="0.2">
      <c r="A116" s="7" t="s">
        <v>93</v>
      </c>
      <c r="J116" s="7">
        <f t="shared" ref="J116:P116" si="189">+J99+J101</f>
        <v>117</v>
      </c>
      <c r="K116" s="7">
        <f t="shared" si="189"/>
        <v>122</v>
      </c>
      <c r="L116" s="7">
        <f t="shared" si="189"/>
        <v>333</v>
      </c>
      <c r="M116" s="7">
        <f t="shared" si="189"/>
        <v>1010</v>
      </c>
      <c r="N116" s="7">
        <f t="shared" si="189"/>
        <v>-336</v>
      </c>
      <c r="O116" s="7">
        <f t="shared" si="189"/>
        <v>-401</v>
      </c>
      <c r="P116" s="7">
        <f t="shared" si="189"/>
        <v>22</v>
      </c>
      <c r="W116" s="7">
        <f t="shared" ref="W116:Z116" si="190">+W99+W101</f>
        <v>1185</v>
      </c>
      <c r="X116" s="7">
        <f t="shared" si="190"/>
        <v>984</v>
      </c>
      <c r="Y116" s="7">
        <f t="shared" si="190"/>
        <v>1053</v>
      </c>
      <c r="Z116" s="7">
        <f t="shared" si="190"/>
        <v>1853</v>
      </c>
      <c r="AA116" s="7">
        <f>+AA99+AA101</f>
        <v>900</v>
      </c>
      <c r="AB116" s="7">
        <f>+AB99+AB101</f>
        <v>-961</v>
      </c>
      <c r="AC116" s="7">
        <f>+AC99+AC101</f>
        <v>1582</v>
      </c>
    </row>
    <row r="117" spans="1:29" x14ac:dyDescent="0.2">
      <c r="A117" s="1" t="s">
        <v>104</v>
      </c>
      <c r="M117" s="1">
        <f t="shared" ref="M117:O117" si="191">+SUM(J116:M116)</f>
        <v>1582</v>
      </c>
      <c r="N117" s="1">
        <f t="shared" si="191"/>
        <v>1129</v>
      </c>
      <c r="O117" s="1">
        <f t="shared" si="191"/>
        <v>606</v>
      </c>
      <c r="P117" s="1">
        <f>+SUM(M116:P116)</f>
        <v>295</v>
      </c>
    </row>
    <row r="119" spans="1:29" x14ac:dyDescent="0.2">
      <c r="A119" s="1" t="s">
        <v>112</v>
      </c>
      <c r="AA119" s="1">
        <v>78189</v>
      </c>
      <c r="AB119" s="1">
        <v>77233</v>
      </c>
      <c r="AC119" s="1">
        <v>69656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2024-11-21T21:03:05Z</dcterms:created>
  <dcterms:modified xsi:type="dcterms:W3CDTF">2024-11-24T15:36:08Z</dcterms:modified>
</cp:coreProperties>
</file>