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8_{F3C86830-D71D-4E87-BEEF-CE15FE1155A3}" xr6:coauthVersionLast="47" xr6:coauthVersionMax="47" xr10:uidLastSave="{00000000-0000-0000-0000-000000000000}"/>
  <bookViews>
    <workbookView xWindow="-120" yWindow="-120" windowWidth="29040" windowHeight="15840" activeTab="1" xr2:uid="{28B0EBE8-CC2F-4C12-B8AD-CC4F0D6FB8F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L9" i="1"/>
  <c r="N44" i="2" l="1"/>
  <c r="M44" i="2"/>
  <c r="O44" i="2"/>
  <c r="M43" i="2"/>
  <c r="M42" i="2"/>
  <c r="M41" i="2"/>
  <c r="M40" i="2"/>
  <c r="L43" i="2"/>
  <c r="L42" i="2"/>
  <c r="L41" i="2"/>
  <c r="L40" i="2"/>
  <c r="J43" i="2"/>
  <c r="K43" i="2"/>
  <c r="N43" i="2"/>
  <c r="O43" i="2"/>
  <c r="O41" i="2"/>
  <c r="K41" i="2"/>
  <c r="K40" i="2"/>
  <c r="O40" i="2"/>
  <c r="O42" i="2"/>
  <c r="K42" i="2"/>
  <c r="O57" i="2"/>
  <c r="N16" i="2"/>
  <c r="M16" i="2"/>
  <c r="L16" i="2"/>
  <c r="K16" i="2"/>
  <c r="J16" i="2"/>
  <c r="I16" i="2"/>
  <c r="H16" i="2"/>
  <c r="G16" i="2"/>
  <c r="O16" i="2"/>
  <c r="O13" i="2"/>
  <c r="N15" i="2"/>
  <c r="M15" i="2"/>
  <c r="L15" i="2"/>
  <c r="K15" i="2"/>
  <c r="J15" i="2"/>
  <c r="I15" i="2"/>
  <c r="H15" i="2"/>
  <c r="G15" i="2"/>
  <c r="N14" i="2"/>
  <c r="M14" i="2"/>
  <c r="L14" i="2"/>
  <c r="K14" i="2"/>
  <c r="J14" i="2"/>
  <c r="I14" i="2"/>
  <c r="H14" i="2"/>
  <c r="G14" i="2"/>
  <c r="N13" i="2"/>
  <c r="M13" i="2"/>
  <c r="L13" i="2"/>
  <c r="K13" i="2"/>
  <c r="J13" i="2"/>
  <c r="I13" i="2"/>
  <c r="H13" i="2"/>
  <c r="G13" i="2"/>
  <c r="O15" i="2"/>
  <c r="O14" i="2"/>
  <c r="K38" i="2"/>
  <c r="K24" i="2"/>
  <c r="K20" i="2"/>
  <c r="O38" i="2"/>
  <c r="O24" i="2"/>
  <c r="O20" i="2"/>
  <c r="T3" i="2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L7" i="1"/>
  <c r="L5" i="1"/>
  <c r="L4" i="1"/>
  <c r="L3" i="1"/>
  <c r="O25" i="2" l="1"/>
  <c r="O34" i="2" s="1"/>
  <c r="O33" i="2"/>
  <c r="K25" i="2"/>
  <c r="K34" i="2" s="1"/>
  <c r="K33" i="2"/>
  <c r="O27" i="2" l="1"/>
  <c r="O36" i="2" s="1"/>
  <c r="K27" i="2"/>
  <c r="K36" i="2" s="1"/>
  <c r="O29" i="2" l="1"/>
  <c r="O30" i="2" s="1"/>
  <c r="K29" i="2"/>
  <c r="K30" i="2" s="1"/>
  <c r="O35" i="2" l="1"/>
  <c r="K35" i="2"/>
</calcChain>
</file>

<file path=xl/sharedStrings.xml><?xml version="1.0" encoding="utf-8"?>
<sst xmlns="http://schemas.openxmlformats.org/spreadsheetml/2006/main" count="72" uniqueCount="62">
  <si>
    <t>Pinterest</t>
  </si>
  <si>
    <t>(PINS)</t>
  </si>
  <si>
    <t>Price</t>
  </si>
  <si>
    <t>Shares</t>
  </si>
  <si>
    <t>MC</t>
  </si>
  <si>
    <t>Cash</t>
  </si>
  <si>
    <t>Debt</t>
  </si>
  <si>
    <t>EV</t>
  </si>
  <si>
    <t>Revenue</t>
  </si>
  <si>
    <t>COGS</t>
  </si>
  <si>
    <t>Gross profit</t>
  </si>
  <si>
    <t>R&amp;D</t>
  </si>
  <si>
    <t>S&amp;M</t>
  </si>
  <si>
    <t>G&amp;A</t>
  </si>
  <si>
    <t>OpEx</t>
  </si>
  <si>
    <t>OpInc</t>
  </si>
  <si>
    <t>Interest income</t>
  </si>
  <si>
    <t>Pretax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</si>
  <si>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</si>
  <si>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</si>
  <si>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</si>
  <si>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</si>
  <si>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</si>
  <si>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</si>
  <si>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</si>
  <si>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Revenue y/y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</si>
  <si>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</si>
  <si>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</si>
  <si>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</si>
  <si>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</si>
  <si>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</si>
  <si>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</si>
  <si>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</si>
  <si>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</si>
  <si>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</si>
  <si>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</si>
  <si>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</si>
  <si>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</si>
  <si>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</si>
  <si>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</si>
  <si>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</si>
  <si>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</si>
  <si>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MAUs</t>
  </si>
  <si>
    <t>ARPU</t>
  </si>
  <si>
    <t>San Fransico, California</t>
  </si>
  <si>
    <t>Headquarter:</t>
  </si>
  <si>
    <t>Founded:</t>
  </si>
  <si>
    <t>Visual search and discovery platform positioned at the intersection</t>
  </si>
  <si>
    <t>of search, social and commerce.</t>
  </si>
  <si>
    <t>We generate revenue by delivering ads on our website and mobile application.</t>
  </si>
  <si>
    <t>U.S. &amp; Canada</t>
  </si>
  <si>
    <t>Europe</t>
  </si>
  <si>
    <t>Rest of the World</t>
  </si>
  <si>
    <t>Headcount</t>
  </si>
  <si>
    <t>Repurchase program $1.0 billion</t>
  </si>
  <si>
    <t>Remaining for repurchases</t>
  </si>
  <si>
    <t>Aggregate purchase price</t>
  </si>
  <si>
    <t>CFFO</t>
  </si>
  <si>
    <t>CapEx</t>
  </si>
  <si>
    <t>FCF</t>
  </si>
  <si>
    <t>SBC</t>
  </si>
  <si>
    <t>FCF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</si>
</sst>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/mm/yy;@"/>
    <numFmt numFmtId="168" formatCode="0\x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3" fontId="1" fillId="0" borderId="0" xfId="0" applyNumberFormat="1" applyFont="1"/>
    <xf numFmtId="0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3" fontId="0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NumberFormat="1" applyFont="1"/>
    <xf numFmtId="4" fontId="0" fillId="0" borderId="0" xfId="0" applyNumberFormat="1"/>
    <xf numFmtId="4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0</xdr:row>
      <xdr:rowOff>57150</xdr:rowOff>
    </xdr:from>
    <xdr:to>
      <xdr:col>15</xdr:col>
      <xdr:colOff>19050</xdr:colOff>
      <xdr:row>64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00362F5-592E-D647-5902-FA415D599BA2}"/>
            </a:ext>
          </a:extLst>
        </xdr:cNvPr>
        <xdr:cNvCxnSpPr/>
      </xdr:nvCxnSpPr>
      <xdr:spPr>
        <a:xfrm>
          <a:off x="9886950" y="57150"/>
          <a:ext cx="0" cy="6696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38100</xdr:colOff>
      <xdr:row>0</xdr:row>
      <xdr:rowOff>57150</xdr:rowOff>
    </xdr:from>
    <xdr:to>
      <xdr:col>28</xdr:col>
      <xdr:colOff>38100</xdr:colOff>
      <xdr:row>64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17473D5-57CE-42DF-81FF-0EAF333923AE}"/>
            </a:ext>
          </a:extLst>
        </xdr:cNvPr>
        <xdr:cNvCxnSpPr/>
      </xdr:nvCxnSpPr>
      <xdr:spPr>
        <a:xfrm>
          <a:off x="17830800" y="57150"/>
          <a:ext cx="0" cy="6696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951-39DD-4FD8-B2CC-CF506CC751DC}">
  <dimension ref="A1:L15"/>
  <sheetViews>
    <sheetView workbookViewId="0">
      <selection activeCell="R17" sqref="R17"/>
    </sheetView>
  </sheetViews>
  <sheetFormatPr defaultRowHeight="12.75" x14ac:dyDescent="0.2"/>
  <cols>
    <col min="1" max="1" width="20" bestFit="1" customWidth="1"/>
    <col min="11" max="11" width="11.5703125" bestFit="1" customWidth="1"/>
  </cols>
  <sheetData>
    <row r="1" spans="1:12" ht="30" x14ac:dyDescent="0.4">
      <c r="A1" s="1" t="s">
        <v>0</v>
      </c>
    </row>
    <row r="2" spans="1:12" x14ac:dyDescent="0.2">
      <c r="A2" t="s">
        <v>1</v>
      </c>
      <c r="B2" t="s">
        <v>47</v>
      </c>
      <c r="K2" t="s">
        <v>2</v>
      </c>
      <c r="L2">
        <v>30.38</v>
      </c>
    </row>
    <row r="3" spans="1:12" x14ac:dyDescent="0.2">
      <c r="B3" t="s">
        <v>48</v>
      </c>
      <c r="K3" t="s">
        <v>3</v>
      </c>
      <c r="L3" s="2">
        <f>603.566773+82.628809</f>
        <v>686.19558200000006</v>
      </c>
    </row>
    <row r="4" spans="1:12" x14ac:dyDescent="0.2">
      <c r="B4" t="s">
        <v>49</v>
      </c>
      <c r="K4" t="s">
        <v>4</v>
      </c>
      <c r="L4" s="2">
        <f>+L2*L3</f>
        <v>20846.62178116</v>
      </c>
    </row>
    <row r="5" spans="1:12" x14ac:dyDescent="0.2">
      <c r="K5" t="s">
        <v>5</v>
      </c>
      <c r="L5" s="2">
        <f>1376.681+1358.502</f>
        <v>2735.183</v>
      </c>
    </row>
    <row r="6" spans="1:12" x14ac:dyDescent="0.2">
      <c r="K6" t="s">
        <v>6</v>
      </c>
      <c r="L6" s="2">
        <v>0</v>
      </c>
    </row>
    <row r="7" spans="1:12" x14ac:dyDescent="0.2">
      <c r="K7" t="s">
        <v>7</v>
      </c>
      <c r="L7" s="2">
        <f>+L4-L5</f>
        <v>18111.438781159999</v>
      </c>
    </row>
    <row r="8" spans="1:12" x14ac:dyDescent="0.2">
      <c r="L8" s="2">
        <f>450*(1.1^10)</f>
        <v>1167.1841070450009</v>
      </c>
    </row>
    <row r="9" spans="1:12" x14ac:dyDescent="0.2">
      <c r="L9" s="20">
        <f>+L7/L8</f>
        <v>15.517208186644465</v>
      </c>
    </row>
    <row r="14" spans="1:12" x14ac:dyDescent="0.2">
      <c r="K14" t="s">
        <v>46</v>
      </c>
      <c r="L14">
        <v>2008</v>
      </c>
    </row>
    <row r="15" spans="1:12" x14ac:dyDescent="0.2">
      <c r="K15" t="s">
        <v>45</v>
      </c>
      <c r="L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830B-97EB-4095-9CE4-8EAE9DCAE37E}">
  <dimension ref="A1:AM5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3" sqref="G23"/>
    </sheetView>
  </sheetViews>
  <sheetFormatPr defaultRowHeight="12.75" x14ac:dyDescent="0.2"/>
  <cols>
    <col min="1" max="1" width="20" style="2" bestFit="1" customWidth="1"/>
    <col min="2" max="17" width="9.140625" style="8"/>
    <col min="18" max="16384" width="9.140625" style="2"/>
  </cols>
  <sheetData>
    <row r="1" spans="1:39" ht="30" x14ac:dyDescent="0.4">
      <c r="A1" s="3" t="s">
        <v>0</v>
      </c>
    </row>
    <row r="2" spans="1:39" s="12" customForma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>
        <v>45107</v>
      </c>
      <c r="L2" s="13"/>
      <c r="M2" s="13"/>
      <c r="N2" s="13"/>
      <c r="O2" s="13">
        <v>45473</v>
      </c>
      <c r="P2" s="13"/>
      <c r="Q2" s="13"/>
    </row>
    <row r="3" spans="1:39" x14ac:dyDescent="0.2"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8" t="s">
        <v>38</v>
      </c>
      <c r="O3" s="8" t="s">
        <v>39</v>
      </c>
      <c r="P3" s="8" t="s">
        <v>40</v>
      </c>
      <c r="Q3" s="8" t="s">
        <v>41</v>
      </c>
      <c r="S3" s="7">
        <v>2014</v>
      </c>
      <c r="T3" s="7">
        <f>+S3+1</f>
        <v>2015</v>
      </c>
      <c r="U3" s="7">
        <f t="shared" ref="U3:AM3" si="0">+T3+1</f>
        <v>2016</v>
      </c>
      <c r="V3" s="7">
        <f t="shared" si="0"/>
        <v>2017</v>
      </c>
      <c r="W3" s="7">
        <f t="shared" si="0"/>
        <v>2018</v>
      </c>
      <c r="X3" s="7">
        <f t="shared" si="0"/>
        <v>2019</v>
      </c>
      <c r="Y3" s="7">
        <f t="shared" si="0"/>
        <v>2020</v>
      </c>
      <c r="Z3" s="7">
        <f t="shared" si="0"/>
        <v>2021</v>
      </c>
      <c r="AA3" s="7">
        <f t="shared" si="0"/>
        <v>2022</v>
      </c>
      <c r="AB3" s="7">
        <f t="shared" si="0"/>
        <v>2023</v>
      </c>
      <c r="AC3" s="7">
        <f t="shared" si="0"/>
        <v>2024</v>
      </c>
      <c r="AD3" s="7">
        <f t="shared" si="0"/>
        <v>2025</v>
      </c>
      <c r="AE3" s="7">
        <f t="shared" si="0"/>
        <v>2026</v>
      </c>
      <c r="AF3" s="7">
        <f t="shared" si="0"/>
        <v>2027</v>
      </c>
      <c r="AG3" s="7">
        <f t="shared" si="0"/>
        <v>2028</v>
      </c>
      <c r="AH3" s="7">
        <f t="shared" si="0"/>
        <v>2029</v>
      </c>
      <c r="AI3" s="7">
        <f t="shared" si="0"/>
        <v>2030</v>
      </c>
      <c r="AJ3" s="7">
        <f t="shared" si="0"/>
        <v>2031</v>
      </c>
      <c r="AK3" s="7">
        <f t="shared" si="0"/>
        <v>2032</v>
      </c>
      <c r="AL3" s="7">
        <f t="shared" si="0"/>
        <v>2033</v>
      </c>
      <c r="AM3" s="7">
        <f t="shared" si="0"/>
        <v>2034</v>
      </c>
    </row>
    <row r="4" spans="1:39" x14ac:dyDescent="0.2">
      <c r="A4" s="2" t="s">
        <v>50</v>
      </c>
      <c r="G4" s="8">
        <v>92</v>
      </c>
      <c r="H4" s="8">
        <v>95</v>
      </c>
      <c r="I4" s="8">
        <v>95</v>
      </c>
      <c r="J4" s="8">
        <v>95</v>
      </c>
      <c r="K4" s="8">
        <v>95</v>
      </c>
      <c r="L4" s="8">
        <v>96</v>
      </c>
      <c r="M4" s="8">
        <v>97</v>
      </c>
      <c r="N4" s="8">
        <v>98</v>
      </c>
      <c r="O4" s="8">
        <v>98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x14ac:dyDescent="0.2">
      <c r="A5" s="2" t="s">
        <v>51</v>
      </c>
      <c r="G5" s="8">
        <v>117</v>
      </c>
      <c r="H5" s="8">
        <v>120</v>
      </c>
      <c r="I5" s="8">
        <v>124</v>
      </c>
      <c r="J5" s="8">
        <v>158</v>
      </c>
      <c r="K5" s="8">
        <v>124</v>
      </c>
      <c r="L5" s="8">
        <v>128</v>
      </c>
      <c r="M5" s="8">
        <v>135</v>
      </c>
      <c r="N5" s="8">
        <v>140</v>
      </c>
      <c r="O5" s="8">
        <v>136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x14ac:dyDescent="0.2">
      <c r="A6" s="2" t="s">
        <v>52</v>
      </c>
      <c r="G6" s="8">
        <v>223</v>
      </c>
      <c r="H6" s="8">
        <v>230</v>
      </c>
      <c r="I6" s="8">
        <v>231</v>
      </c>
      <c r="J6" s="8">
        <v>240</v>
      </c>
      <c r="K6" s="8">
        <v>246</v>
      </c>
      <c r="L6" s="8">
        <v>258</v>
      </c>
      <c r="M6" s="8">
        <v>266</v>
      </c>
      <c r="N6" s="8">
        <v>279</v>
      </c>
      <c r="O6" s="8">
        <v>288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s="6" customFormat="1" x14ac:dyDescent="0.2">
      <c r="A7" s="6" t="s">
        <v>42</v>
      </c>
      <c r="B7" s="9"/>
      <c r="C7" s="9"/>
      <c r="D7" s="9"/>
      <c r="E7" s="9"/>
      <c r="F7" s="9"/>
      <c r="G7" s="9">
        <v>433</v>
      </c>
      <c r="H7" s="9">
        <v>445</v>
      </c>
      <c r="I7" s="9">
        <v>450</v>
      </c>
      <c r="J7" s="9">
        <v>463</v>
      </c>
      <c r="K7" s="9">
        <v>465</v>
      </c>
      <c r="L7" s="9">
        <v>482</v>
      </c>
      <c r="M7" s="9">
        <v>498</v>
      </c>
      <c r="N7" s="9">
        <v>518</v>
      </c>
      <c r="O7" s="9">
        <v>522</v>
      </c>
      <c r="P7" s="9"/>
      <c r="Q7" s="9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</row>
    <row r="8" spans="1:39" s="6" customFormat="1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</row>
    <row r="9" spans="1:39" x14ac:dyDescent="0.2">
      <c r="A9" s="2" t="s">
        <v>50</v>
      </c>
      <c r="G9" s="8">
        <v>542</v>
      </c>
      <c r="H9" s="8">
        <v>575</v>
      </c>
      <c r="I9" s="8">
        <v>722</v>
      </c>
      <c r="J9" s="8">
        <v>486</v>
      </c>
      <c r="K9" s="8">
        <v>565</v>
      </c>
      <c r="L9" s="8">
        <v>618</v>
      </c>
      <c r="M9" s="8">
        <v>779</v>
      </c>
      <c r="N9" s="8">
        <v>592</v>
      </c>
      <c r="O9" s="8">
        <v>673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x14ac:dyDescent="0.2">
      <c r="A10" s="2" t="s">
        <v>51</v>
      </c>
      <c r="G10" s="8">
        <v>102</v>
      </c>
      <c r="H10" s="8">
        <v>86</v>
      </c>
      <c r="I10" s="8">
        <v>123</v>
      </c>
      <c r="J10" s="8">
        <v>93</v>
      </c>
      <c r="K10" s="8">
        <v>114</v>
      </c>
      <c r="L10" s="8">
        <v>114</v>
      </c>
      <c r="M10" s="8">
        <v>162</v>
      </c>
      <c r="N10" s="8">
        <v>118</v>
      </c>
      <c r="O10" s="8">
        <v>143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x14ac:dyDescent="0.2">
      <c r="A11" s="2" t="s">
        <v>52</v>
      </c>
      <c r="G11" s="8">
        <v>22</v>
      </c>
      <c r="H11" s="8">
        <v>24</v>
      </c>
      <c r="I11" s="8">
        <v>32</v>
      </c>
      <c r="J11" s="8">
        <v>24</v>
      </c>
      <c r="K11" s="8">
        <v>29</v>
      </c>
      <c r="L11" s="8">
        <v>31</v>
      </c>
      <c r="M11" s="8">
        <v>41</v>
      </c>
      <c r="N11" s="8">
        <v>30</v>
      </c>
      <c r="O11" s="8">
        <v>38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3" spans="1:39" s="18" customFormat="1" x14ac:dyDescent="0.2">
      <c r="A13" s="18" t="s">
        <v>50</v>
      </c>
      <c r="B13" s="16"/>
      <c r="C13" s="16"/>
      <c r="D13" s="16"/>
      <c r="E13" s="16"/>
      <c r="F13" s="16"/>
      <c r="G13" s="16">
        <f t="shared" ref="G13:N13" si="1">+G9/G4</f>
        <v>5.8913043478260869</v>
      </c>
      <c r="H13" s="16">
        <f t="shared" si="1"/>
        <v>6.0526315789473681</v>
      </c>
      <c r="I13" s="16">
        <f t="shared" si="1"/>
        <v>7.6</v>
      </c>
      <c r="J13" s="16">
        <f t="shared" si="1"/>
        <v>5.1157894736842104</v>
      </c>
      <c r="K13" s="16">
        <f t="shared" si="1"/>
        <v>5.9473684210526319</v>
      </c>
      <c r="L13" s="16">
        <f t="shared" si="1"/>
        <v>6.4375</v>
      </c>
      <c r="M13" s="16">
        <f t="shared" si="1"/>
        <v>8.0309278350515463</v>
      </c>
      <c r="N13" s="16">
        <f t="shared" si="1"/>
        <v>6.0408163265306118</v>
      </c>
      <c r="O13" s="16">
        <f>+O9/O4</f>
        <v>6.8673469387755102</v>
      </c>
      <c r="P13" s="16"/>
      <c r="Q13" s="16"/>
    </row>
    <row r="14" spans="1:39" s="18" customFormat="1" x14ac:dyDescent="0.2">
      <c r="A14" s="18" t="s">
        <v>51</v>
      </c>
      <c r="B14" s="16"/>
      <c r="C14" s="16"/>
      <c r="D14" s="16"/>
      <c r="E14" s="16"/>
      <c r="F14" s="16"/>
      <c r="G14" s="16">
        <f t="shared" ref="G14:N14" si="2">+G10/G5</f>
        <v>0.87179487179487181</v>
      </c>
      <c r="H14" s="16">
        <f t="shared" si="2"/>
        <v>0.71666666666666667</v>
      </c>
      <c r="I14" s="16">
        <f t="shared" si="2"/>
        <v>0.99193548387096775</v>
      </c>
      <c r="J14" s="16">
        <f t="shared" si="2"/>
        <v>0.58860759493670889</v>
      </c>
      <c r="K14" s="16">
        <f t="shared" si="2"/>
        <v>0.91935483870967738</v>
      </c>
      <c r="L14" s="16">
        <f t="shared" si="2"/>
        <v>0.890625</v>
      </c>
      <c r="M14" s="16">
        <f t="shared" si="2"/>
        <v>1.2</v>
      </c>
      <c r="N14" s="16">
        <f t="shared" si="2"/>
        <v>0.84285714285714286</v>
      </c>
      <c r="O14" s="16">
        <f>+O10/O5</f>
        <v>1.0514705882352942</v>
      </c>
      <c r="P14" s="16"/>
      <c r="Q14" s="16"/>
    </row>
    <row r="15" spans="1:39" s="18" customFormat="1" x14ac:dyDescent="0.2">
      <c r="A15" s="18" t="s">
        <v>52</v>
      </c>
      <c r="B15" s="16"/>
      <c r="C15" s="16"/>
      <c r="D15" s="16"/>
      <c r="E15" s="16"/>
      <c r="F15" s="16"/>
      <c r="G15" s="16">
        <f t="shared" ref="G15:N15" si="3">+G11/G6</f>
        <v>9.8654708520179366E-2</v>
      </c>
      <c r="H15" s="16">
        <f t="shared" si="3"/>
        <v>0.10434782608695652</v>
      </c>
      <c r="I15" s="16">
        <f t="shared" si="3"/>
        <v>0.13852813852813853</v>
      </c>
      <c r="J15" s="16">
        <f t="shared" si="3"/>
        <v>0.1</v>
      </c>
      <c r="K15" s="16">
        <f t="shared" si="3"/>
        <v>0.11788617886178862</v>
      </c>
      <c r="L15" s="16">
        <f t="shared" si="3"/>
        <v>0.12015503875968993</v>
      </c>
      <c r="M15" s="16">
        <f t="shared" si="3"/>
        <v>0.15413533834586465</v>
      </c>
      <c r="N15" s="16">
        <f t="shared" si="3"/>
        <v>0.10752688172043011</v>
      </c>
      <c r="O15" s="16">
        <f>+O11/O6</f>
        <v>0.13194444444444445</v>
      </c>
      <c r="P15" s="16"/>
      <c r="Q15" s="16"/>
    </row>
    <row r="16" spans="1:39" s="19" customFormat="1" x14ac:dyDescent="0.2">
      <c r="A16" s="19" t="s">
        <v>43</v>
      </c>
      <c r="B16" s="15"/>
      <c r="C16" s="15"/>
      <c r="D16" s="15"/>
      <c r="E16" s="15"/>
      <c r="F16" s="15"/>
      <c r="G16" s="15">
        <f t="shared" ref="G16:N16" si="4">+G18/G7</f>
        <v>0</v>
      </c>
      <c r="H16" s="15">
        <f t="shared" si="4"/>
        <v>0</v>
      </c>
      <c r="I16" s="15">
        <f t="shared" si="4"/>
        <v>0</v>
      </c>
      <c r="J16" s="15">
        <f t="shared" si="4"/>
        <v>0</v>
      </c>
      <c r="K16" s="15">
        <f t="shared" si="4"/>
        <v>1.5226344086021504</v>
      </c>
      <c r="L16" s="15">
        <f t="shared" si="4"/>
        <v>0</v>
      </c>
      <c r="M16" s="15">
        <f t="shared" si="4"/>
        <v>0</v>
      </c>
      <c r="N16" s="15">
        <f t="shared" si="4"/>
        <v>0</v>
      </c>
      <c r="O16" s="15">
        <f>+O18/O7</f>
        <v>1.6354022988505745</v>
      </c>
      <c r="P16" s="15"/>
      <c r="Q16" s="15"/>
    </row>
    <row r="17" spans="1:39" s="6" customForma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</row>
    <row r="18" spans="1:39" s="6" customFormat="1" x14ac:dyDescent="0.2">
      <c r="A18" s="6" t="s">
        <v>8</v>
      </c>
      <c r="B18" s="9"/>
      <c r="C18" s="9"/>
      <c r="D18" s="9"/>
      <c r="E18" s="9"/>
      <c r="F18" s="9"/>
      <c r="G18" s="9"/>
      <c r="H18" s="9"/>
      <c r="I18" s="9"/>
      <c r="J18" s="9"/>
      <c r="K18" s="9">
        <v>708.02499999999998</v>
      </c>
      <c r="L18" s="9"/>
      <c r="M18" s="9"/>
      <c r="N18" s="9"/>
      <c r="O18" s="9">
        <v>853.68</v>
      </c>
      <c r="P18" s="9"/>
      <c r="Q18" s="9"/>
    </row>
    <row r="19" spans="1:39" x14ac:dyDescent="0.2">
      <c r="A19" s="2" t="s">
        <v>9</v>
      </c>
      <c r="K19" s="8">
        <v>168.74</v>
      </c>
      <c r="O19" s="8">
        <v>184.85599999999999</v>
      </c>
    </row>
    <row r="20" spans="1:39" s="6" customFormat="1" x14ac:dyDescent="0.2">
      <c r="A20" s="6" t="s">
        <v>10</v>
      </c>
      <c r="B20" s="9"/>
      <c r="C20" s="9"/>
      <c r="D20" s="9"/>
      <c r="E20" s="9"/>
      <c r="F20" s="9"/>
      <c r="G20" s="9"/>
      <c r="H20" s="9"/>
      <c r="I20" s="9"/>
      <c r="J20" s="9"/>
      <c r="K20" s="6">
        <f>+K18-K19</f>
        <v>539.28499999999997</v>
      </c>
      <c r="L20" s="9"/>
      <c r="M20" s="9"/>
      <c r="N20" s="9"/>
      <c r="O20" s="6">
        <f>+O18-O19</f>
        <v>668.82399999999996</v>
      </c>
      <c r="P20" s="9"/>
      <c r="Q20" s="9"/>
    </row>
    <row r="21" spans="1:39" x14ac:dyDescent="0.2">
      <c r="A21" s="2" t="s">
        <v>11</v>
      </c>
      <c r="K21" s="14">
        <v>269.39100000000002</v>
      </c>
      <c r="O21" s="14">
        <v>312.83699999999999</v>
      </c>
    </row>
    <row r="22" spans="1:39" x14ac:dyDescent="0.2">
      <c r="A22" s="2" t="s">
        <v>12</v>
      </c>
      <c r="K22" s="8">
        <v>243.239</v>
      </c>
      <c r="O22" s="8">
        <v>265.35399999999998</v>
      </c>
    </row>
    <row r="23" spans="1:39" x14ac:dyDescent="0.2">
      <c r="A23" s="2" t="s">
        <v>13</v>
      </c>
      <c r="K23" s="8">
        <v>99.897999999999996</v>
      </c>
      <c r="O23" s="8">
        <v>112.074</v>
      </c>
    </row>
    <row r="24" spans="1:39" x14ac:dyDescent="0.2">
      <c r="A24" s="2" t="s">
        <v>14</v>
      </c>
      <c r="K24" s="8">
        <f>+SUM(K21:K23)</f>
        <v>612.52800000000002</v>
      </c>
      <c r="O24" s="8">
        <f>+SUM(O21:O23)</f>
        <v>690.26499999999999</v>
      </c>
    </row>
    <row r="25" spans="1:39" s="6" customFormat="1" x14ac:dyDescent="0.2">
      <c r="A25" s="6" t="s">
        <v>15</v>
      </c>
      <c r="B25" s="9"/>
      <c r="C25" s="9"/>
      <c r="D25" s="9"/>
      <c r="E25" s="9"/>
      <c r="F25" s="9"/>
      <c r="G25" s="9"/>
      <c r="H25" s="9"/>
      <c r="I25" s="9"/>
      <c r="J25" s="9"/>
      <c r="K25" s="9">
        <f>+K20-K24</f>
        <v>-73.243000000000052</v>
      </c>
      <c r="L25" s="9"/>
      <c r="M25" s="9"/>
      <c r="N25" s="9"/>
      <c r="O25" s="9">
        <f>+O20-O24</f>
        <v>-21.441000000000031</v>
      </c>
      <c r="P25" s="9"/>
      <c r="Q25" s="9"/>
    </row>
    <row r="26" spans="1:39" x14ac:dyDescent="0.2">
      <c r="A26" s="2" t="s">
        <v>16</v>
      </c>
      <c r="K26" s="8">
        <v>24.888000000000002</v>
      </c>
      <c r="O26" s="8">
        <v>34.68</v>
      </c>
    </row>
    <row r="27" spans="1:39" x14ac:dyDescent="0.2">
      <c r="A27" s="2" t="s">
        <v>17</v>
      </c>
      <c r="K27" s="8">
        <f>+K25+K26</f>
        <v>-48.355000000000047</v>
      </c>
      <c r="O27" s="8">
        <f>+O25+O26</f>
        <v>13.238999999999969</v>
      </c>
    </row>
    <row r="28" spans="1:39" x14ac:dyDescent="0.2">
      <c r="A28" s="2" t="s">
        <v>18</v>
      </c>
      <c r="K28" s="8">
        <v>-11.233000000000001</v>
      </c>
      <c r="O28" s="8">
        <v>-0.24399999999999999</v>
      </c>
    </row>
    <row r="29" spans="1:39" s="6" customFormat="1" x14ac:dyDescent="0.2">
      <c r="A29" s="6" t="s">
        <v>19</v>
      </c>
      <c r="B29" s="9"/>
      <c r="C29" s="9"/>
      <c r="D29" s="9"/>
      <c r="E29" s="9"/>
      <c r="F29" s="9"/>
      <c r="G29" s="9"/>
      <c r="H29" s="9"/>
      <c r="I29" s="9"/>
      <c r="J29" s="9"/>
      <c r="K29" s="9">
        <f>+K27-K28</f>
        <v>-37.122000000000043</v>
      </c>
      <c r="L29" s="9"/>
      <c r="M29" s="9"/>
      <c r="N29" s="9"/>
      <c r="O29" s="9">
        <f>+O27-O28</f>
        <v>13.482999999999969</v>
      </c>
      <c r="P29" s="9"/>
      <c r="Q29" s="9"/>
    </row>
    <row r="30" spans="1:39" x14ac:dyDescent="0.2">
      <c r="A30" s="2" t="s">
        <v>20</v>
      </c>
      <c r="K30" s="16">
        <f>+K29/K31</f>
        <v>-5.505428012101804E-2</v>
      </c>
      <c r="O30" s="16">
        <f>+O29/O31</f>
        <v>1.9036848154203648E-2</v>
      </c>
    </row>
    <row r="31" spans="1:39" x14ac:dyDescent="0.2">
      <c r="A31" s="2" t="s">
        <v>3</v>
      </c>
      <c r="K31" s="8">
        <v>674.28</v>
      </c>
      <c r="O31" s="8">
        <v>708.25800000000004</v>
      </c>
    </row>
    <row r="33" spans="1:17" s="4" customFormat="1" x14ac:dyDescent="0.2">
      <c r="A33" s="4" t="s">
        <v>21</v>
      </c>
      <c r="B33" s="10"/>
      <c r="C33" s="10"/>
      <c r="D33" s="10"/>
      <c r="E33" s="10"/>
      <c r="F33" s="10"/>
      <c r="G33" s="10"/>
      <c r="H33" s="10"/>
      <c r="I33" s="10"/>
      <c r="J33" s="10"/>
      <c r="K33" s="10">
        <f>+K20/K18</f>
        <v>0.76167508209455881</v>
      </c>
      <c r="L33" s="10"/>
      <c r="M33" s="10"/>
      <c r="N33" s="10"/>
      <c r="O33" s="10">
        <f>+O20/O18</f>
        <v>0.78345984443819694</v>
      </c>
      <c r="P33" s="10"/>
      <c r="Q33" s="10"/>
    </row>
    <row r="34" spans="1:17" s="4" customFormat="1" x14ac:dyDescent="0.2">
      <c r="A34" s="4" t="s">
        <v>22</v>
      </c>
      <c r="B34" s="10"/>
      <c r="C34" s="10"/>
      <c r="D34" s="10"/>
      <c r="E34" s="10"/>
      <c r="F34" s="10"/>
      <c r="G34" s="10"/>
      <c r="H34" s="10"/>
      <c r="I34" s="10"/>
      <c r="J34" s="10"/>
      <c r="K34" s="10">
        <f>+K25/K18</f>
        <v>-0.10344691218530427</v>
      </c>
      <c r="L34" s="10"/>
      <c r="M34" s="10"/>
      <c r="N34" s="10"/>
      <c r="O34" s="10">
        <f>+O25/O18</f>
        <v>-2.5115968512791718E-2</v>
      </c>
      <c r="P34" s="10"/>
      <c r="Q34" s="10"/>
    </row>
    <row r="35" spans="1:17" s="4" customFormat="1" x14ac:dyDescent="0.2">
      <c r="A35" s="4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>
        <f>+K29/K18</f>
        <v>-5.2430352035592022E-2</v>
      </c>
      <c r="L35" s="10"/>
      <c r="M35" s="10"/>
      <c r="N35" s="10"/>
      <c r="O35" s="10">
        <f>+O29/O18</f>
        <v>1.5793974322931274E-2</v>
      </c>
      <c r="P35" s="10"/>
      <c r="Q35" s="10"/>
    </row>
    <row r="36" spans="1:17" s="4" customFormat="1" x14ac:dyDescent="0.2">
      <c r="A36" s="4" t="s">
        <v>24</v>
      </c>
      <c r="B36" s="10"/>
      <c r="C36" s="10"/>
      <c r="D36" s="10"/>
      <c r="E36" s="10"/>
      <c r="F36" s="10"/>
      <c r="G36" s="10"/>
      <c r="H36" s="10"/>
      <c r="I36" s="10"/>
      <c r="J36" s="10"/>
      <c r="K36" s="10">
        <f>+K28/K27</f>
        <v>0.23230276083135126</v>
      </c>
      <c r="L36" s="10"/>
      <c r="M36" s="10"/>
      <c r="N36" s="10"/>
      <c r="O36" s="10">
        <f>+O28/O27</f>
        <v>-1.8430395044943013E-2</v>
      </c>
      <c r="P36" s="10"/>
      <c r="Q36" s="10"/>
    </row>
    <row r="37" spans="1:17" s="4" customForma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s="5" customFormat="1" x14ac:dyDescent="0.2">
      <c r="A38" s="5" t="s">
        <v>25</v>
      </c>
      <c r="B38" s="11"/>
      <c r="C38" s="11"/>
      <c r="D38" s="11"/>
      <c r="E38" s="11"/>
      <c r="F38" s="11"/>
      <c r="G38" s="11"/>
      <c r="H38" s="11"/>
      <c r="I38" s="11"/>
      <c r="J38" s="11"/>
      <c r="K38" s="11" t="e">
        <f>+K18/G18-1</f>
        <v>#DIV/0!</v>
      </c>
      <c r="L38" s="11"/>
      <c r="M38" s="11"/>
      <c r="N38" s="11"/>
      <c r="O38" s="11">
        <f>+O18/K18-1</f>
        <v>0.20572013700081215</v>
      </c>
      <c r="P38" s="11"/>
      <c r="Q38" s="11"/>
    </row>
    <row r="40" spans="1:17" x14ac:dyDescent="0.2">
      <c r="A40" s="2" t="s">
        <v>57</v>
      </c>
      <c r="J40" s="8">
        <v>183.45699999999999</v>
      </c>
      <c r="K40" s="8">
        <f>246.176-J40</f>
        <v>62.718999999999994</v>
      </c>
      <c r="L40" s="8">
        <f>354.681-SUM(J40:K40)</f>
        <v>108.505</v>
      </c>
      <c r="M40" s="8">
        <f>612.961-SUM(J40:L40)</f>
        <v>258.28000000000003</v>
      </c>
      <c r="N40" s="8">
        <v>356.14600000000002</v>
      </c>
      <c r="O40" s="8">
        <f>462.572-N40</f>
        <v>106.42599999999999</v>
      </c>
    </row>
    <row r="41" spans="1:17" x14ac:dyDescent="0.2">
      <c r="A41" s="2" t="s">
        <v>60</v>
      </c>
      <c r="J41" s="8">
        <v>143.12200000000001</v>
      </c>
      <c r="K41" s="8">
        <f>312.752-J41</f>
        <v>169.63</v>
      </c>
      <c r="L41" s="8">
        <f>484.633-SUM(J41:K41)</f>
        <v>171.88099999999997</v>
      </c>
      <c r="M41" s="8">
        <f>647.86-SUM(J41:L41)</f>
        <v>163.22700000000003</v>
      </c>
      <c r="N41" s="8">
        <v>162.47300000000001</v>
      </c>
      <c r="O41" s="8">
        <f>358.906-N41</f>
        <v>196.43299999999999</v>
      </c>
    </row>
    <row r="42" spans="1:17" x14ac:dyDescent="0.2">
      <c r="A42" s="2" t="s">
        <v>58</v>
      </c>
      <c r="J42" s="8">
        <v>1.99</v>
      </c>
      <c r="K42" s="8">
        <f>2.8-J42</f>
        <v>0.80999999999999983</v>
      </c>
      <c r="L42" s="8">
        <f>3.78-SUM(J42:K42)</f>
        <v>0.98</v>
      </c>
      <c r="M42" s="8">
        <f>8.063-SUM(J42:L42)</f>
        <v>4.2830000000000013</v>
      </c>
      <c r="N42" s="8">
        <v>12.113</v>
      </c>
      <c r="O42" s="8">
        <f>16.897-N42</f>
        <v>4.7839999999999989</v>
      </c>
    </row>
    <row r="43" spans="1:17" s="6" customFormat="1" x14ac:dyDescent="0.2">
      <c r="A43" s="6" t="s">
        <v>59</v>
      </c>
      <c r="B43" s="9"/>
      <c r="C43" s="9"/>
      <c r="D43" s="9"/>
      <c r="E43" s="9"/>
      <c r="F43" s="9"/>
      <c r="G43" s="9"/>
      <c r="H43" s="9"/>
      <c r="I43" s="9"/>
      <c r="J43" s="9">
        <f>+J40-J42-J41</f>
        <v>38.34499999999997</v>
      </c>
      <c r="K43" s="9">
        <f>+K40-K42-K41</f>
        <v>-107.721</v>
      </c>
      <c r="L43" s="9">
        <f>+L40-L42-L41</f>
        <v>-64.35599999999998</v>
      </c>
      <c r="M43" s="9">
        <f>+M40-M42-M41</f>
        <v>90.769999999999982</v>
      </c>
      <c r="N43" s="9">
        <f>+N40-N42-N41</f>
        <v>181.56</v>
      </c>
      <c r="O43" s="9">
        <f>+O40-O42-O41</f>
        <v>-94.790999999999997</v>
      </c>
      <c r="P43" s="9"/>
      <c r="Q43" s="9"/>
    </row>
    <row r="44" spans="1:17" x14ac:dyDescent="0.2">
      <c r="A44" s="2" t="s">
        <v>61</v>
      </c>
      <c r="M44" s="8">
        <f t="shared" ref="M44:N44" si="5">+SUM(J43:M43)</f>
        <v>-42.962000000000046</v>
      </c>
      <c r="N44" s="8">
        <f t="shared" si="5"/>
        <v>100.25299999999999</v>
      </c>
      <c r="O44" s="8">
        <f>+SUM(L43:O43)</f>
        <v>113.18299999999999</v>
      </c>
    </row>
    <row r="54" spans="1:17" x14ac:dyDescent="0.2">
      <c r="A54" s="2" t="s">
        <v>3</v>
      </c>
      <c r="O54" s="8">
        <v>804297</v>
      </c>
    </row>
    <row r="55" spans="1:17" x14ac:dyDescent="0.2">
      <c r="A55" s="2" t="s">
        <v>56</v>
      </c>
      <c r="O55" s="8">
        <v>34.4</v>
      </c>
    </row>
    <row r="56" spans="1:17" x14ac:dyDescent="0.2">
      <c r="A56" s="2" t="s">
        <v>54</v>
      </c>
      <c r="O56" s="8">
        <v>1000</v>
      </c>
    </row>
    <row r="57" spans="1:17" x14ac:dyDescent="0.2">
      <c r="A57" s="2" t="s">
        <v>55</v>
      </c>
      <c r="O57" s="8">
        <f>+O56-O55</f>
        <v>965.6</v>
      </c>
    </row>
    <row r="59" spans="1:17" s="6" customFormat="1" x14ac:dyDescent="0.2">
      <c r="A59" s="6" t="s">
        <v>53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>
        <v>4249</v>
      </c>
      <c r="P59" s="9"/>
      <c r="Q59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2024-09-21T10:04:29Z</dcterms:created>
  <dcterms:modified xsi:type="dcterms:W3CDTF">2024-09-21T14:42:11Z</dcterms:modified>
</cp:coreProperties>
</file>