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Main\Information Technology\"/>
    </mc:Choice>
  </mc:AlternateContent>
  <xr:revisionPtr revIDLastSave="0" documentId="8_{B958B651-1E25-43BC-A4DE-C7B1720EF198}" xr6:coauthVersionLast="47" xr6:coauthVersionMax="47" xr10:uidLastSave="{00000000-0000-0000-0000-000000000000}"/>
  <bookViews>
    <workbookView xWindow="90" yWindow="60" windowWidth="14235" windowHeight="15495" activeTab="1" xr2:uid="{6E6E7745-5C2F-4442-A415-3DA70C3DCF0F}"/>
  </bookViews>
  <sheets>
    <sheet name="Main" sheetId="1" r:id="rId1"/>
    <sheet name="Model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2" l="1"/>
  <c r="Q43" i="2"/>
  <c r="Q37" i="2"/>
  <c r="Q36" i="2"/>
  <c r="Q35" i="2"/>
  <c r="Q39" i="2" s="1"/>
  <c r="Q41" i="2" s="1"/>
  <c r="Q26" i="2"/>
  <c r="Q25" i="2" s="1"/>
  <c r="L10" i="1"/>
  <c r="M47" i="2"/>
  <c r="M46" i="2"/>
  <c r="Q47" i="2"/>
  <c r="Q46" i="2"/>
  <c r="Q48" i="2" s="1"/>
  <c r="L48" i="2"/>
  <c r="O48" i="2"/>
  <c r="N48" i="2"/>
  <c r="K48" i="2"/>
  <c r="J48" i="2"/>
  <c r="P48" i="2"/>
  <c r="AB48" i="2"/>
  <c r="AA48" i="2"/>
  <c r="AC48" i="2"/>
  <c r="AC35" i="2"/>
  <c r="AC37" i="2"/>
  <c r="AC36" i="2"/>
  <c r="AC26" i="2"/>
  <c r="AC32" i="2" s="1"/>
  <c r="M16" i="2"/>
  <c r="M13" i="2"/>
  <c r="M11" i="2"/>
  <c r="M8" i="2"/>
  <c r="M7" i="2"/>
  <c r="M6" i="2"/>
  <c r="M4" i="2"/>
  <c r="M3" i="2"/>
  <c r="Q16" i="2"/>
  <c r="Q13" i="2"/>
  <c r="Q11" i="2"/>
  <c r="Q8" i="2"/>
  <c r="Q7" i="2"/>
  <c r="Q6" i="2"/>
  <c r="Q4" i="2"/>
  <c r="Q3" i="2"/>
  <c r="J23" i="2"/>
  <c r="J9" i="2"/>
  <c r="J5" i="2"/>
  <c r="N23" i="2"/>
  <c r="N9" i="2"/>
  <c r="N5" i="2"/>
  <c r="K23" i="2"/>
  <c r="K9" i="2"/>
  <c r="K5" i="2"/>
  <c r="K18" i="2" s="1"/>
  <c r="O23" i="2"/>
  <c r="O9" i="2"/>
  <c r="O5" i="2"/>
  <c r="L23" i="2"/>
  <c r="L9" i="2"/>
  <c r="L5" i="2"/>
  <c r="L18" i="2" s="1"/>
  <c r="P23" i="2"/>
  <c r="P9" i="2"/>
  <c r="P5" i="2"/>
  <c r="P18" i="2" s="1"/>
  <c r="AA9" i="2"/>
  <c r="AA5" i="2"/>
  <c r="AB9" i="2"/>
  <c r="AB5" i="2"/>
  <c r="AB18" i="2" s="1"/>
  <c r="AC9" i="2"/>
  <c r="AC5" i="2"/>
  <c r="AC18" i="2" s="1"/>
  <c r="AB23" i="2"/>
  <c r="AA23" i="2"/>
  <c r="AC23" i="2"/>
  <c r="L8" i="1"/>
  <c r="L6" i="1"/>
  <c r="L5" i="1"/>
  <c r="T2" i="2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Q32" i="2" l="1"/>
  <c r="M9" i="2"/>
  <c r="M10" i="2" s="1"/>
  <c r="Q5" i="2"/>
  <c r="Q18" i="2" s="1"/>
  <c r="Q9" i="2"/>
  <c r="Q49" i="2"/>
  <c r="Q23" i="2"/>
  <c r="AC10" i="2"/>
  <c r="M5" i="2"/>
  <c r="M18" i="2" s="1"/>
  <c r="AC25" i="2"/>
  <c r="AC39" i="2"/>
  <c r="AC41" i="2" s="1"/>
  <c r="M23" i="2"/>
  <c r="M48" i="2"/>
  <c r="P49" i="2" s="1"/>
  <c r="J10" i="2"/>
  <c r="J12" i="2" s="1"/>
  <c r="J18" i="2"/>
  <c r="N10" i="2"/>
  <c r="N12" i="2" s="1"/>
  <c r="N18" i="2"/>
  <c r="K10" i="2"/>
  <c r="O10" i="2"/>
  <c r="O12" i="2"/>
  <c r="O19" i="2"/>
  <c r="O18" i="2"/>
  <c r="L10" i="2"/>
  <c r="P10" i="2"/>
  <c r="AA10" i="2"/>
  <c r="AA19" i="2" s="1"/>
  <c r="AA18" i="2"/>
  <c r="AB10" i="2"/>
  <c r="J19" i="2" l="1"/>
  <c r="Q10" i="2"/>
  <c r="Q12" i="2" s="1"/>
  <c r="M12" i="2"/>
  <c r="M19" i="2"/>
  <c r="N49" i="2"/>
  <c r="AC19" i="2"/>
  <c r="AC12" i="2"/>
  <c r="O49" i="2"/>
  <c r="M49" i="2"/>
  <c r="J21" i="2"/>
  <c r="J14" i="2"/>
  <c r="N19" i="2"/>
  <c r="N21" i="2"/>
  <c r="N14" i="2"/>
  <c r="K12" i="2"/>
  <c r="K19" i="2"/>
  <c r="O21" i="2"/>
  <c r="O14" i="2"/>
  <c r="L12" i="2"/>
  <c r="L19" i="2"/>
  <c r="P12" i="2"/>
  <c r="P19" i="2"/>
  <c r="AA12" i="2"/>
  <c r="AA14" i="2" s="1"/>
  <c r="AB12" i="2"/>
  <c r="AB19" i="2"/>
  <c r="Q19" i="2" l="1"/>
  <c r="Q14" i="2"/>
  <c r="Q21" i="2"/>
  <c r="AC21" i="2"/>
  <c r="AC14" i="2"/>
  <c r="M14" i="2"/>
  <c r="M21" i="2"/>
  <c r="J20" i="2"/>
  <c r="J15" i="2"/>
  <c r="N15" i="2"/>
  <c r="N20" i="2"/>
  <c r="K21" i="2"/>
  <c r="K14" i="2"/>
  <c r="O20" i="2"/>
  <c r="O15" i="2"/>
  <c r="L21" i="2"/>
  <c r="L14" i="2"/>
  <c r="P21" i="2"/>
  <c r="P14" i="2"/>
  <c r="AA21" i="2"/>
  <c r="AA20" i="2"/>
  <c r="AA15" i="2"/>
  <c r="AB21" i="2"/>
  <c r="AB14" i="2"/>
  <c r="M20" i="2" l="1"/>
  <c r="M15" i="2"/>
  <c r="AC20" i="2"/>
  <c r="AC15" i="2"/>
  <c r="Q15" i="2"/>
  <c r="Q20" i="2"/>
  <c r="K20" i="2"/>
  <c r="K15" i="2"/>
  <c r="L15" i="2"/>
  <c r="L20" i="2"/>
  <c r="P15" i="2"/>
  <c r="P20" i="2"/>
  <c r="AB20" i="2"/>
  <c r="AB15" i="2"/>
</calcChain>
</file>

<file path=xl/sharedStrings.xml><?xml version="1.0" encoding="utf-8"?>
<sst xmlns="http://schemas.openxmlformats.org/spreadsheetml/2006/main" count="64" uniqueCount="61">
  <si>
    <t>Revenue</t>
  </si>
  <si>
    <t>COGS</t>
  </si>
  <si>
    <t>Gross profit</t>
  </si>
  <si>
    <t>R&amp;D</t>
  </si>
  <si>
    <t>Operating expense</t>
  </si>
  <si>
    <t>Operating income</t>
  </si>
  <si>
    <t>Interest income</t>
  </si>
  <si>
    <t>Pretax</t>
  </si>
  <si>
    <t>Taxes</t>
  </si>
  <si>
    <t>Net income</t>
  </si>
  <si>
    <t>EPS</t>
  </si>
  <si>
    <t>Shares</t>
  </si>
  <si>
    <t>Gross margin</t>
  </si>
  <si>
    <t>Operating margin</t>
  </si>
  <si>
    <t>Net margin</t>
  </si>
  <si>
    <t>Tax rate</t>
  </si>
  <si>
    <t>Revenue y/y</t>
  </si>
  <si>
    <t>Q121</t>
  </si>
  <si>
    <t>Q222</t>
  </si>
  <si>
    <t>Q322</t>
  </si>
  <si>
    <t>Q221</t>
  </si>
  <si>
    <t>Q321</t>
  </si>
  <si>
    <t>Q421</t>
  </si>
  <si>
    <t>Q122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</si>
  <si>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</si>
  <si>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</si>
  <si>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</si>
  <si>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</si>
  <si>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</si>
  <si>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</si>
  <si>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</si>
  <si>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</si>
  <si>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</si>
  <si>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Price</t>
  </si>
  <si>
    <t>MC</t>
  </si>
  <si>
    <t>Cash</t>
  </si>
  <si>
    <t>Debt</t>
  </si>
  <si>
    <t>EV</t>
  </si>
  <si>
    <t>G&amp;A</t>
  </si>
  <si>
    <t>S&amp;M</t>
  </si>
  <si>
    <t>Net cash</t>
  </si>
  <si>
    <t>AR</t>
  </si>
  <si>
    <t>Prepaid</t>
  </si>
  <si>
    <t>PP&amp;E</t>
  </si>
  <si>
    <t>Lease</t>
  </si>
  <si>
    <t>Other</t>
  </si>
  <si>
    <t>Assets</t>
  </si>
  <si>
    <t>AP</t>
  </si>
  <si>
    <t>Accrued</t>
  </si>
  <si>
    <t>DR</t>
  </si>
  <si>
    <t>Deposits</t>
  </si>
  <si>
    <t>ONCL</t>
  </si>
  <si>
    <t>Liabilties</t>
  </si>
  <si>
    <t>S/E</t>
  </si>
  <si>
    <t>L+S/E</t>
  </si>
  <si>
    <t>CFFO</t>
  </si>
  <si>
    <t>CapEx</t>
  </si>
  <si>
    <t>FCF</t>
  </si>
  <si>
    <t>TTM</t>
  </si>
  <si>
    <t>NI TTM</t>
  </si>
  <si>
    <t>ROTA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</si>
</sst>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d/mm/yy;@"/>
    <numFmt numFmtId="168" formatCode="0\x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4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3" fontId="0" fillId="0" borderId="0" xfId="0" applyNumberFormat="1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0</xdr:row>
      <xdr:rowOff>9525</xdr:rowOff>
    </xdr:from>
    <xdr:to>
      <xdr:col>17</xdr:col>
      <xdr:colOff>19050</xdr:colOff>
      <xdr:row>54</xdr:row>
      <xdr:rowOff>95250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5F1A5750-9936-EF0D-E12B-E85A67256796}"/>
            </a:ext>
          </a:extLst>
        </xdr:cNvPr>
        <xdr:cNvCxnSpPr/>
      </xdr:nvCxnSpPr>
      <xdr:spPr>
        <a:xfrm>
          <a:off x="10887075" y="9525"/>
          <a:ext cx="0" cy="834390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38100</xdr:colOff>
      <xdr:row>0</xdr:row>
      <xdr:rowOff>0</xdr:rowOff>
    </xdr:from>
    <xdr:to>
      <xdr:col>29</xdr:col>
      <xdr:colOff>38100</xdr:colOff>
      <xdr:row>72</xdr:row>
      <xdr:rowOff>152400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FE0EC68-F8AC-4896-82A2-343B2850F4EF}"/>
            </a:ext>
          </a:extLst>
        </xdr:cNvPr>
        <xdr:cNvCxnSpPr/>
      </xdr:nvCxnSpPr>
      <xdr:spPr>
        <a:xfrm>
          <a:off x="18221325" y="0"/>
          <a:ext cx="0" cy="11325225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ECA6A-B7E7-4FEA-838C-C3DDFCD393C6}">
  <dimension ref="K3:L10"/>
  <sheetViews>
    <sheetView workbookViewId="0">
      <selection activeCell="L10" sqref="L10"/>
    </sheetView>
  </sheetViews>
  <sheetFormatPr defaultRowHeight="12.75" x14ac:dyDescent="0.2"/>
  <sheetData>
    <row r="3" spans="11:12" x14ac:dyDescent="0.2">
      <c r="K3" t="s">
        <v>33</v>
      </c>
      <c r="L3" s="5">
        <v>94.47</v>
      </c>
    </row>
    <row r="4" spans="11:12" x14ac:dyDescent="0.2">
      <c r="K4" t="s">
        <v>11</v>
      </c>
      <c r="L4" s="1">
        <v>2248.9508259999998</v>
      </c>
    </row>
    <row r="5" spans="11:12" x14ac:dyDescent="0.2">
      <c r="K5" t="s">
        <v>34</v>
      </c>
      <c r="L5" s="1">
        <f>+L3*L4</f>
        <v>212458.38453221996</v>
      </c>
    </row>
    <row r="6" spans="11:12" x14ac:dyDescent="0.2">
      <c r="K6" t="s">
        <v>35</v>
      </c>
      <c r="L6" s="1">
        <f>2098.524+3131.463</f>
        <v>5229.9870000000001</v>
      </c>
    </row>
    <row r="7" spans="11:12" x14ac:dyDescent="0.2">
      <c r="K7" t="s">
        <v>36</v>
      </c>
      <c r="L7" s="1">
        <v>0</v>
      </c>
    </row>
    <row r="8" spans="11:12" x14ac:dyDescent="0.2">
      <c r="K8" t="s">
        <v>37</v>
      </c>
      <c r="L8" s="1">
        <f>+L5-L6</f>
        <v>207228.39753221997</v>
      </c>
    </row>
    <row r="9" spans="11:12" x14ac:dyDescent="0.2">
      <c r="L9" s="1">
        <v>1141</v>
      </c>
    </row>
    <row r="10" spans="11:12" x14ac:dyDescent="0.2">
      <c r="L10" s="10">
        <f>+L8/L9</f>
        <v>181.6199803086941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DEAE-30AE-4A40-80E5-21F603320597}">
  <dimension ref="A1:AM49"/>
  <sheetViews>
    <sheetView tabSelected="1" workbookViewId="0">
      <pane xSplit="1" ySplit="2" topLeftCell="G24" activePane="bottomRight" state="frozen"/>
      <selection pane="topRight" activeCell="B1" sqref="B1"/>
      <selection pane="bottomLeft" activeCell="A3" sqref="A3"/>
      <selection pane="bottomRight" activeCell="M35" sqref="M35"/>
    </sheetView>
  </sheetViews>
  <sheetFormatPr defaultRowHeight="12.75" x14ac:dyDescent="0.2"/>
  <cols>
    <col min="1" max="1" width="16.7109375" style="1" bestFit="1" customWidth="1"/>
    <col min="2" max="16384" width="9.140625" style="1"/>
  </cols>
  <sheetData>
    <row r="1" spans="1:39" s="8" customFormat="1" x14ac:dyDescent="0.2">
      <c r="J1" s="8">
        <v>45016</v>
      </c>
      <c r="K1" s="8">
        <v>45107</v>
      </c>
      <c r="L1" s="8">
        <v>45199</v>
      </c>
      <c r="M1" s="8">
        <v>45291</v>
      </c>
      <c r="N1" s="8">
        <v>45382</v>
      </c>
      <c r="O1" s="8">
        <v>45473</v>
      </c>
      <c r="P1" s="8">
        <v>45565</v>
      </c>
      <c r="Q1" s="8">
        <v>45657</v>
      </c>
    </row>
    <row r="2" spans="1:39" x14ac:dyDescent="0.2">
      <c r="A2" s="3"/>
      <c r="B2" s="3" t="s">
        <v>17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18</v>
      </c>
      <c r="H2" s="3" t="s">
        <v>19</v>
      </c>
      <c r="I2" s="3" t="s">
        <v>24</v>
      </c>
      <c r="J2" s="3" t="s">
        <v>25</v>
      </c>
      <c r="K2" s="3" t="s">
        <v>26</v>
      </c>
      <c r="L2" s="3" t="s">
        <v>27</v>
      </c>
      <c r="M2" s="3" t="s">
        <v>28</v>
      </c>
      <c r="N2" s="3" t="s">
        <v>29</v>
      </c>
      <c r="O2" s="3" t="s">
        <v>30</v>
      </c>
      <c r="P2" s="3" t="s">
        <v>31</v>
      </c>
      <c r="Q2" s="3" t="s">
        <v>32</v>
      </c>
      <c r="S2" s="2">
        <v>2014</v>
      </c>
      <c r="T2" s="2">
        <f>+S2+1</f>
        <v>2015</v>
      </c>
      <c r="U2" s="2">
        <f t="shared" ref="U2:AN2" si="0">+T2+1</f>
        <v>2016</v>
      </c>
      <c r="V2" s="2">
        <f t="shared" si="0"/>
        <v>2017</v>
      </c>
      <c r="W2" s="2">
        <f t="shared" si="0"/>
        <v>2018</v>
      </c>
      <c r="X2" s="2">
        <f t="shared" si="0"/>
        <v>2019</v>
      </c>
      <c r="Y2" s="2">
        <f t="shared" si="0"/>
        <v>2020</v>
      </c>
      <c r="Z2" s="2">
        <f t="shared" si="0"/>
        <v>2021</v>
      </c>
      <c r="AA2" s="2">
        <f t="shared" si="0"/>
        <v>2022</v>
      </c>
      <c r="AB2" s="2">
        <f t="shared" si="0"/>
        <v>2023</v>
      </c>
      <c r="AC2" s="2">
        <f t="shared" si="0"/>
        <v>2024</v>
      </c>
      <c r="AD2" s="2">
        <f t="shared" si="0"/>
        <v>2025</v>
      </c>
      <c r="AE2" s="2">
        <f t="shared" si="0"/>
        <v>2026</v>
      </c>
      <c r="AF2" s="2">
        <f t="shared" si="0"/>
        <v>2027</v>
      </c>
      <c r="AG2" s="2">
        <f t="shared" si="0"/>
        <v>2028</v>
      </c>
      <c r="AH2" s="2">
        <f t="shared" si="0"/>
        <v>2029</v>
      </c>
      <c r="AI2" s="2">
        <f t="shared" si="0"/>
        <v>2030</v>
      </c>
      <c r="AJ2" s="2">
        <f t="shared" si="0"/>
        <v>2031</v>
      </c>
      <c r="AK2" s="2">
        <f t="shared" si="0"/>
        <v>2032</v>
      </c>
      <c r="AL2" s="2">
        <f t="shared" si="0"/>
        <v>2033</v>
      </c>
      <c r="AM2" s="2">
        <f t="shared" si="0"/>
        <v>2034</v>
      </c>
    </row>
    <row r="3" spans="1:39" s="6" customFormat="1" x14ac:dyDescent="0.2">
      <c r="A3" s="6" t="s">
        <v>0</v>
      </c>
      <c r="J3" s="6">
        <v>525.18600000000004</v>
      </c>
      <c r="K3" s="6">
        <v>533.31700000000001</v>
      </c>
      <c r="L3" s="6">
        <v>558.15899999999999</v>
      </c>
      <c r="M3" s="6">
        <f>+AB3-SUM(J3:L3)</f>
        <v>608.34999999999991</v>
      </c>
      <c r="N3" s="6">
        <v>634.33799999999997</v>
      </c>
      <c r="O3" s="6">
        <v>678.13400000000001</v>
      </c>
      <c r="P3" s="6">
        <v>725.51599999999996</v>
      </c>
      <c r="Q3" s="6">
        <f>+AC3-SUM(N3:P3)</f>
        <v>827.51900000000023</v>
      </c>
      <c r="AA3" s="6">
        <v>1905.8710000000001</v>
      </c>
      <c r="AB3" s="6">
        <v>2225.0120000000002</v>
      </c>
      <c r="AC3" s="6">
        <v>2865.5070000000001</v>
      </c>
    </row>
    <row r="4" spans="1:39" x14ac:dyDescent="0.2">
      <c r="A4" s="1" t="s">
        <v>1</v>
      </c>
      <c r="J4" s="1">
        <v>107.645</v>
      </c>
      <c r="K4" s="1">
        <v>106.899</v>
      </c>
      <c r="L4" s="1">
        <v>107.922</v>
      </c>
      <c r="M4" s="9">
        <f>+AB4-SUM(J4:L4)</f>
        <v>108.63900000000001</v>
      </c>
      <c r="N4" s="1">
        <v>116.256</v>
      </c>
      <c r="O4" s="1">
        <v>128.56200000000001</v>
      </c>
      <c r="P4" s="1">
        <v>146.63900000000001</v>
      </c>
      <c r="Q4" s="9">
        <f>+AC4-SUM(N4:P4)</f>
        <v>174.53300000000002</v>
      </c>
      <c r="AA4" s="1">
        <v>408.54899999999998</v>
      </c>
      <c r="AB4" s="1">
        <v>431.10500000000002</v>
      </c>
      <c r="AC4" s="1">
        <v>565.99</v>
      </c>
    </row>
    <row r="5" spans="1:39" x14ac:dyDescent="0.2">
      <c r="A5" s="1" t="s">
        <v>2</v>
      </c>
      <c r="J5" s="1">
        <f>+J3-J4</f>
        <v>417.54100000000005</v>
      </c>
      <c r="K5" s="1">
        <f>+K3-K4</f>
        <v>426.41800000000001</v>
      </c>
      <c r="L5" s="1">
        <f>+L3-L4</f>
        <v>450.23699999999997</v>
      </c>
      <c r="M5" s="1">
        <f>+M3-M4</f>
        <v>499.7109999999999</v>
      </c>
      <c r="N5" s="1">
        <f>+N3-N4</f>
        <v>518.08199999999999</v>
      </c>
      <c r="O5" s="1">
        <f>+O3-O4</f>
        <v>549.572</v>
      </c>
      <c r="P5" s="1">
        <f>+P3-P4</f>
        <v>578.87699999999995</v>
      </c>
      <c r="Q5" s="1">
        <f>+Q3-Q4</f>
        <v>652.98600000000022</v>
      </c>
      <c r="AA5" s="1">
        <f>+AA3-AA4</f>
        <v>1497.3220000000001</v>
      </c>
      <c r="AB5" s="1">
        <f>+AB3-AB4</f>
        <v>1793.9070000000002</v>
      </c>
      <c r="AC5" s="1">
        <f>+AC3-AC4</f>
        <v>2299.5169999999998</v>
      </c>
    </row>
    <row r="6" spans="1:39" x14ac:dyDescent="0.2">
      <c r="A6" s="1" t="s">
        <v>39</v>
      </c>
      <c r="J6" s="1">
        <v>187.09299999999999</v>
      </c>
      <c r="K6" s="1">
        <v>184.16300000000001</v>
      </c>
      <c r="L6" s="1">
        <v>176.37299999999999</v>
      </c>
      <c r="M6" s="9">
        <f t="shared" ref="M6:M8" si="1">+AB6-SUM(J6:L6)</f>
        <v>197.36300000000006</v>
      </c>
      <c r="N6" s="1">
        <v>193.17699999999999</v>
      </c>
      <c r="O6" s="1">
        <v>196.809</v>
      </c>
      <c r="P6" s="1">
        <v>209.47399999999999</v>
      </c>
      <c r="Q6" s="9">
        <f t="shared" ref="Q6:Q8" si="2">+AC6-SUM(N6:P6)</f>
        <v>288.29499999999996</v>
      </c>
      <c r="AA6" s="1">
        <v>702.51099999999997</v>
      </c>
      <c r="AB6" s="1">
        <v>744.99199999999996</v>
      </c>
      <c r="AC6" s="1">
        <v>887.755</v>
      </c>
    </row>
    <row r="7" spans="1:39" x14ac:dyDescent="0.2">
      <c r="A7" s="1" t="s">
        <v>3</v>
      </c>
      <c r="J7" s="1">
        <v>90.1</v>
      </c>
      <c r="K7" s="1">
        <v>99.533000000000001</v>
      </c>
      <c r="L7" s="1">
        <v>105.708</v>
      </c>
      <c r="M7" s="9">
        <f t="shared" si="1"/>
        <v>109.28300000000002</v>
      </c>
      <c r="N7" s="1">
        <v>110.04</v>
      </c>
      <c r="O7" s="1">
        <v>108.78100000000001</v>
      </c>
      <c r="P7" s="1">
        <v>117.55500000000001</v>
      </c>
      <c r="Q7" s="9">
        <f t="shared" si="2"/>
        <v>171.50199999999995</v>
      </c>
      <c r="AA7" s="1">
        <v>359.67899999999997</v>
      </c>
      <c r="AB7" s="1">
        <v>404.62400000000002</v>
      </c>
      <c r="AC7" s="1">
        <v>507.87799999999999</v>
      </c>
    </row>
    <row r="8" spans="1:39" x14ac:dyDescent="0.2">
      <c r="A8" s="1" t="s">
        <v>38</v>
      </c>
      <c r="J8" s="1">
        <v>136.233</v>
      </c>
      <c r="K8" s="1">
        <v>132.648</v>
      </c>
      <c r="L8" s="1">
        <v>128.173</v>
      </c>
      <c r="M8" s="9">
        <f t="shared" si="1"/>
        <v>127.27100000000007</v>
      </c>
      <c r="N8" s="1">
        <v>133.98400000000001</v>
      </c>
      <c r="O8" s="1">
        <v>138.643</v>
      </c>
      <c r="P8" s="1">
        <v>138.708</v>
      </c>
      <c r="Q8" s="9">
        <f t="shared" si="2"/>
        <v>182.14599999999996</v>
      </c>
      <c r="AA8" s="1">
        <v>596.33299999999997</v>
      </c>
      <c r="AB8" s="1">
        <v>524.32500000000005</v>
      </c>
      <c r="AC8" s="1">
        <v>593.48099999999999</v>
      </c>
    </row>
    <row r="9" spans="1:39" x14ac:dyDescent="0.2">
      <c r="A9" s="1" t="s">
        <v>4</v>
      </c>
      <c r="J9" s="1">
        <f>+SUM(J6:J8)</f>
        <v>413.42599999999999</v>
      </c>
      <c r="K9" s="1">
        <f>+SUM(K6:K8)</f>
        <v>416.34400000000005</v>
      </c>
      <c r="L9" s="1">
        <f>+SUM(L6:L8)</f>
        <v>410.25400000000002</v>
      </c>
      <c r="M9" s="1">
        <f>+SUM(M6:M8)</f>
        <v>433.91700000000014</v>
      </c>
      <c r="N9" s="1">
        <f>+SUM(N6:N8)</f>
        <v>437.20100000000002</v>
      </c>
      <c r="O9" s="1">
        <f>+SUM(O6:O8)</f>
        <v>444.23300000000006</v>
      </c>
      <c r="P9" s="1">
        <f>+SUM(P6:P8)</f>
        <v>465.73699999999997</v>
      </c>
      <c r="Q9" s="1">
        <f>+SUM(Q6:Q8)</f>
        <v>641.94299999999987</v>
      </c>
      <c r="AA9" s="1">
        <f>+SUM(AA6:AA8)</f>
        <v>1658.5230000000001</v>
      </c>
      <c r="AB9" s="1">
        <f>+SUM(AB6:AB8)</f>
        <v>1673.941</v>
      </c>
      <c r="AC9" s="1">
        <f>+SUM(AC6:AC8)</f>
        <v>1989.114</v>
      </c>
    </row>
    <row r="10" spans="1:39" s="6" customFormat="1" x14ac:dyDescent="0.2">
      <c r="A10" s="6" t="s">
        <v>5</v>
      </c>
      <c r="J10" s="6">
        <f>+J5-J9</f>
        <v>4.1150000000000659</v>
      </c>
      <c r="K10" s="6">
        <f>+K5-K9</f>
        <v>10.073999999999955</v>
      </c>
      <c r="L10" s="6">
        <f>+L5-L9</f>
        <v>39.982999999999947</v>
      </c>
      <c r="M10" s="6">
        <f>+M5-M9</f>
        <v>65.793999999999755</v>
      </c>
      <c r="N10" s="6">
        <f>+N5-N9</f>
        <v>80.880999999999972</v>
      </c>
      <c r="O10" s="6">
        <f>+O5-O9</f>
        <v>105.33899999999994</v>
      </c>
      <c r="P10" s="6">
        <f>+P5-P9</f>
        <v>113.13999999999999</v>
      </c>
      <c r="Q10" s="6">
        <f>+Q5-Q9</f>
        <v>11.043000000000347</v>
      </c>
      <c r="AA10" s="6">
        <f>+AA5-AA9</f>
        <v>-161.20100000000002</v>
      </c>
      <c r="AB10" s="6">
        <f>+AB5-AB9</f>
        <v>119.96600000000012</v>
      </c>
      <c r="AC10" s="6">
        <f>+AC5-AC9</f>
        <v>310.40299999999979</v>
      </c>
    </row>
    <row r="11" spans="1:39" x14ac:dyDescent="0.2">
      <c r="A11" s="1" t="s">
        <v>6</v>
      </c>
      <c r="J11" s="1">
        <v>20.853000000000002</v>
      </c>
      <c r="K11" s="1">
        <v>30.31</v>
      </c>
      <c r="L11" s="1">
        <v>36.863999999999997</v>
      </c>
      <c r="M11" s="9">
        <f t="shared" ref="M11" si="3">+AB11-SUM(J11:L11)</f>
        <v>44.545000000000016</v>
      </c>
      <c r="N11" s="1">
        <v>43.351999999999997</v>
      </c>
      <c r="O11" s="1">
        <v>46.593000000000004</v>
      </c>
      <c r="P11" s="1">
        <v>52.12</v>
      </c>
      <c r="Q11" s="9">
        <f t="shared" ref="Q11" si="4">+AC11-SUM(N11:P11)</f>
        <v>54.727000000000004</v>
      </c>
      <c r="AA11" s="1">
        <v>-161.20099999999999</v>
      </c>
      <c r="AB11" s="1">
        <v>132.572</v>
      </c>
      <c r="AC11" s="1">
        <v>196.792</v>
      </c>
    </row>
    <row r="12" spans="1:39" x14ac:dyDescent="0.2">
      <c r="A12" s="1" t="s">
        <v>7</v>
      </c>
      <c r="J12" s="1">
        <f>+J10+J11</f>
        <v>24.968000000000067</v>
      </c>
      <c r="K12" s="1">
        <f>+K10+K11</f>
        <v>40.383999999999958</v>
      </c>
      <c r="L12" s="1">
        <f>+L10+L11</f>
        <v>76.846999999999952</v>
      </c>
      <c r="M12" s="1">
        <f>+M10+M11</f>
        <v>110.33899999999977</v>
      </c>
      <c r="N12" s="1">
        <f>+N10+N11</f>
        <v>124.23299999999998</v>
      </c>
      <c r="O12" s="1">
        <f>+O10+O11</f>
        <v>151.93199999999996</v>
      </c>
      <c r="P12" s="1">
        <f>+P10+P11</f>
        <v>165.26</v>
      </c>
      <c r="Q12" s="1">
        <f>+Q10+Q11</f>
        <v>65.770000000000351</v>
      </c>
      <c r="AA12" s="1">
        <f>+AA10+AA11</f>
        <v>-322.40200000000004</v>
      </c>
      <c r="AB12" s="1">
        <f>+AB10+AB11</f>
        <v>252.53800000000012</v>
      </c>
      <c r="AC12" s="1">
        <f>+AC10+AC11</f>
        <v>507.19499999999982</v>
      </c>
    </row>
    <row r="13" spans="1:39" x14ac:dyDescent="0.2">
      <c r="A13" s="1" t="s">
        <v>8</v>
      </c>
      <c r="J13" s="1">
        <v>1.681</v>
      </c>
      <c r="K13" s="1">
        <v>2.1709999999999998</v>
      </c>
      <c r="L13" s="1">
        <v>6.53</v>
      </c>
      <c r="M13" s="9">
        <f t="shared" ref="M13" si="5">+AB13-SUM(J13:L13)</f>
        <v>9.3340000000000014</v>
      </c>
      <c r="N13" s="1">
        <v>4.6550000000000002</v>
      </c>
      <c r="O13" s="1">
        <v>5.1890000000000001</v>
      </c>
      <c r="P13" s="1">
        <v>7.8090000000000002</v>
      </c>
      <c r="Q13" s="9">
        <f t="shared" ref="Q13" si="6">+AC13-SUM(N13:P13)</f>
        <v>3.6019999999999968</v>
      </c>
      <c r="AA13" s="1">
        <v>-361.02699999999999</v>
      </c>
      <c r="AB13" s="1">
        <v>19.716000000000001</v>
      </c>
      <c r="AC13" s="1">
        <v>21.254999999999999</v>
      </c>
    </row>
    <row r="14" spans="1:39" s="6" customFormat="1" x14ac:dyDescent="0.2">
      <c r="A14" s="6" t="s">
        <v>9</v>
      </c>
      <c r="J14" s="6">
        <f>+J12-J13</f>
        <v>23.287000000000067</v>
      </c>
      <c r="K14" s="6">
        <f>+K12-K13</f>
        <v>38.212999999999958</v>
      </c>
      <c r="L14" s="6">
        <f>+L12-L13</f>
        <v>70.31699999999995</v>
      </c>
      <c r="M14" s="6">
        <f>+M12-M13</f>
        <v>101.00499999999977</v>
      </c>
      <c r="N14" s="6">
        <f>+N12-N13</f>
        <v>119.57799999999997</v>
      </c>
      <c r="O14" s="6">
        <f>+O12-O13</f>
        <v>146.74299999999997</v>
      </c>
      <c r="P14" s="6">
        <f>+P12-P13</f>
        <v>157.45099999999999</v>
      </c>
      <c r="Q14" s="6">
        <f>+Q12-Q13</f>
        <v>62.168000000000355</v>
      </c>
      <c r="AA14" s="6">
        <f>+AA12-AA13</f>
        <v>38.624999999999943</v>
      </c>
      <c r="AB14" s="6">
        <f>+AB12-AB13</f>
        <v>232.82200000000012</v>
      </c>
      <c r="AC14" s="6">
        <f>+AC12-AC13</f>
        <v>485.93999999999983</v>
      </c>
    </row>
    <row r="15" spans="1:39" s="5" customFormat="1" x14ac:dyDescent="0.2">
      <c r="A15" s="5" t="s">
        <v>10</v>
      </c>
      <c r="J15" s="5">
        <f>+J14/J16</f>
        <v>1.0501754501476734E-2</v>
      </c>
      <c r="K15" s="5">
        <f>+K14/K16</f>
        <v>1.6773661142459557E-2</v>
      </c>
      <c r="L15" s="5">
        <f>+L14/L16</f>
        <v>3.023606811145509E-2</v>
      </c>
      <c r="M15" s="5">
        <f>+M14/M16</f>
        <v>4.2608902541811489E-2</v>
      </c>
      <c r="N15" s="5">
        <f>+N14/N16</f>
        <v>4.9821945438265867E-2</v>
      </c>
      <c r="O15" s="5">
        <f>+O14/O16</f>
        <v>6.0770796820800617E-2</v>
      </c>
      <c r="P15" s="5">
        <f>+P14/P16</f>
        <v>7.6447776716616761E-2</v>
      </c>
      <c r="Q15" s="5">
        <f>+Q14/Q16</f>
        <v>2.1225861080003391E-2</v>
      </c>
      <c r="AA15" s="5">
        <f>+AA14/AA16</f>
        <v>1.871553978524006E-2</v>
      </c>
      <c r="AB15" s="5">
        <f>+AB14/AB16</f>
        <v>0.10131827512362233</v>
      </c>
      <c r="AC15" s="5">
        <f>+AC14/AC16</f>
        <v>0.19827665701818731</v>
      </c>
    </row>
    <row r="16" spans="1:39" x14ac:dyDescent="0.2">
      <c r="A16" s="1" t="s">
        <v>11</v>
      </c>
      <c r="J16" s="1">
        <v>2217.4389999999999</v>
      </c>
      <c r="K16" s="1">
        <v>2278.1550000000002</v>
      </c>
      <c r="L16" s="1">
        <v>2325.6</v>
      </c>
      <c r="M16" s="1">
        <f>+AB16*4-SUM(J16:L16)</f>
        <v>2370.514000000001</v>
      </c>
      <c r="N16" s="1">
        <v>2400.107</v>
      </c>
      <c r="O16" s="1">
        <v>2414.6959999999999</v>
      </c>
      <c r="P16" s="1">
        <v>2059.5889999999999</v>
      </c>
      <c r="Q16" s="1">
        <f>+AC16*4-SUM(N16:P16)</f>
        <v>2928.880000000001</v>
      </c>
      <c r="AA16" s="1">
        <v>2063.7930000000001</v>
      </c>
      <c r="AB16" s="1">
        <v>2297.9270000000001</v>
      </c>
      <c r="AC16" s="1">
        <v>2450.8180000000002</v>
      </c>
    </row>
    <row r="18" spans="1:29" s="4" customFormat="1" x14ac:dyDescent="0.2">
      <c r="A18" s="4" t="s">
        <v>12</v>
      </c>
      <c r="J18" s="4">
        <f>+J5/J3</f>
        <v>0.79503452110299977</v>
      </c>
      <c r="K18" s="4">
        <f>+K5/K3</f>
        <v>0.79955823647099189</v>
      </c>
      <c r="L18" s="4">
        <f>+L5/L3</f>
        <v>0.80664649320354953</v>
      </c>
      <c r="M18" s="4">
        <f>+M5/M3</f>
        <v>0.82142023506205308</v>
      </c>
      <c r="N18" s="4">
        <f>+N5/N3</f>
        <v>0.81672862101907817</v>
      </c>
      <c r="O18" s="4">
        <f>+O5/O3</f>
        <v>0.81041799998230435</v>
      </c>
      <c r="P18" s="4">
        <f>+P5/P3</f>
        <v>0.79788316177727303</v>
      </c>
      <c r="Q18" s="4">
        <f>+Q5/Q3</f>
        <v>0.7890888305887841</v>
      </c>
      <c r="AA18" s="4">
        <f>+AA5/AA3</f>
        <v>0.78563659345254744</v>
      </c>
      <c r="AB18" s="4">
        <f>+AB5/AB3</f>
        <v>0.80624598878567844</v>
      </c>
      <c r="AC18" s="4">
        <f>+AC5/AC3</f>
        <v>0.80248172487451597</v>
      </c>
    </row>
    <row r="19" spans="1:29" s="4" customFormat="1" x14ac:dyDescent="0.2">
      <c r="A19" s="4" t="s">
        <v>13</v>
      </c>
      <c r="J19" s="4">
        <f>+J10/J3</f>
        <v>7.8353192964017802E-3</v>
      </c>
      <c r="K19" s="4">
        <f>+K10/K3</f>
        <v>1.8889328485684791E-2</v>
      </c>
      <c r="L19" s="4">
        <f>+L10/L3</f>
        <v>7.1633710107693233E-2</v>
      </c>
      <c r="M19" s="4">
        <f>+M10/M3</f>
        <v>0.10815155749157519</v>
      </c>
      <c r="N19" s="4">
        <f>+N10/N3</f>
        <v>0.12750457957744921</v>
      </c>
      <c r="O19" s="4">
        <f>+O10/O3</f>
        <v>0.1553365559019308</v>
      </c>
      <c r="P19" s="4">
        <f>+P10/P3</f>
        <v>0.15594418317445788</v>
      </c>
      <c r="Q19" s="4">
        <f>+Q10/Q3</f>
        <v>1.3344708701552887E-2</v>
      </c>
      <c r="AA19" s="4">
        <f>+AA10/AA3</f>
        <v>-8.4581275437844439E-2</v>
      </c>
      <c r="AB19" s="4">
        <f>+AB10/AB3</f>
        <v>5.3917012582404097E-2</v>
      </c>
      <c r="AC19" s="4">
        <f>+AC10/AC3</f>
        <v>0.10832393709036474</v>
      </c>
    </row>
    <row r="20" spans="1:29" s="4" customFormat="1" x14ac:dyDescent="0.2">
      <c r="A20" s="4" t="s">
        <v>14</v>
      </c>
      <c r="J20" s="4">
        <f>+J14/J3</f>
        <v>4.4340481277109565E-2</v>
      </c>
      <c r="K20" s="4">
        <f>+K14/K3</f>
        <v>7.1651569329310633E-2</v>
      </c>
      <c r="L20" s="4">
        <f>+L14/L3</f>
        <v>0.12598023143942846</v>
      </c>
      <c r="M20" s="4">
        <f>+M14/M3</f>
        <v>0.16603106764198206</v>
      </c>
      <c r="N20" s="4">
        <f>+N14/N3</f>
        <v>0.18850833467331293</v>
      </c>
      <c r="O20" s="4">
        <f>+O14/O3</f>
        <v>0.21639233543812869</v>
      </c>
      <c r="P20" s="4">
        <f>+P14/P3</f>
        <v>0.2170193352041857</v>
      </c>
      <c r="Q20" s="4">
        <f>+Q14/Q3</f>
        <v>7.512576750503655E-2</v>
      </c>
      <c r="AA20" s="4">
        <f>+AA14/AA3</f>
        <v>2.0266324425944851E-2</v>
      </c>
      <c r="AB20" s="4">
        <f>+AB14/AB3</f>
        <v>0.10463853678092527</v>
      </c>
      <c r="AC20" s="4">
        <f>+AC14/AC3</f>
        <v>0.16958255554776164</v>
      </c>
    </row>
    <row r="21" spans="1:29" s="4" customFormat="1" x14ac:dyDescent="0.2">
      <c r="A21" s="4" t="s">
        <v>15</v>
      </c>
      <c r="J21" s="4">
        <f>+J13/J12</f>
        <v>6.7326177507209053E-2</v>
      </c>
      <c r="K21" s="4">
        <f>+K13/K12</f>
        <v>5.3758914421553144E-2</v>
      </c>
      <c r="L21" s="4">
        <f>+L13/L12</f>
        <v>8.4974039324892378E-2</v>
      </c>
      <c r="M21" s="4">
        <f>+M13/M12</f>
        <v>8.4593842612313147E-2</v>
      </c>
      <c r="N21" s="4">
        <f>+N13/N12</f>
        <v>3.7469915400899931E-2</v>
      </c>
      <c r="O21" s="4">
        <f>+O13/O12</f>
        <v>3.4153437063949674E-2</v>
      </c>
      <c r="P21" s="4">
        <f>+P13/P12</f>
        <v>4.7252813748033404E-2</v>
      </c>
      <c r="Q21" s="4">
        <f>+Q13/Q12</f>
        <v>5.4766610916831042E-2</v>
      </c>
      <c r="AA21" s="4">
        <f>+AA13/AA12</f>
        <v>1.1198038473706737</v>
      </c>
      <c r="AB21" s="4">
        <f>+AB13/AB12</f>
        <v>7.8071418954771127E-2</v>
      </c>
      <c r="AC21" s="4">
        <f>+AC13/AC12</f>
        <v>4.1906958861976179E-2</v>
      </c>
    </row>
    <row r="22" spans="1:29" s="4" customFormat="1" x14ac:dyDescent="0.2"/>
    <row r="23" spans="1:29" s="7" customFormat="1" x14ac:dyDescent="0.2">
      <c r="A23" s="7" t="s">
        <v>16</v>
      </c>
      <c r="J23" s="7" t="e">
        <f>+J3/F3-1</f>
        <v>#DIV/0!</v>
      </c>
      <c r="K23" s="7" t="e">
        <f>+K3/G3-1</f>
        <v>#DIV/0!</v>
      </c>
      <c r="L23" s="7" t="e">
        <f>+L3/H3-1</f>
        <v>#DIV/0!</v>
      </c>
      <c r="M23" s="7" t="e">
        <f>+M3/I3-1</f>
        <v>#DIV/0!</v>
      </c>
      <c r="N23" s="7">
        <f>+N3/J3-1</f>
        <v>0.20783493847893864</v>
      </c>
      <c r="O23" s="7">
        <f>+O3/K3-1</f>
        <v>0.2715401909183468</v>
      </c>
      <c r="P23" s="7">
        <f>+P3/L3-1</f>
        <v>0.2998375015004684</v>
      </c>
      <c r="Q23" s="7">
        <f>+Q3/M3-1</f>
        <v>0.36026793786471667</v>
      </c>
      <c r="AA23" s="7" t="e">
        <f t="shared" ref="AA23:AB23" si="7">+AA3/Z3-1</f>
        <v>#DIV/0!</v>
      </c>
      <c r="AB23" s="7">
        <f t="shared" si="7"/>
        <v>0.16745152216493153</v>
      </c>
      <c r="AC23" s="7">
        <f>+AC3/AB3-1</f>
        <v>0.2878613688375613</v>
      </c>
    </row>
    <row r="25" spans="1:29" x14ac:dyDescent="0.2">
      <c r="A25" s="1" t="s">
        <v>40</v>
      </c>
      <c r="Q25" s="1">
        <f>+Q26</f>
        <v>5229.9870000000001</v>
      </c>
      <c r="AC25" s="1">
        <f>+AC26</f>
        <v>5229.9870000000001</v>
      </c>
    </row>
    <row r="26" spans="1:29" x14ac:dyDescent="0.2">
      <c r="A26" s="1" t="s">
        <v>35</v>
      </c>
      <c r="Q26" s="1">
        <f>2098.524+3131.463</f>
        <v>5229.9870000000001</v>
      </c>
      <c r="AC26" s="1">
        <f>2098.524+3131.463</f>
        <v>5229.9870000000001</v>
      </c>
    </row>
    <row r="27" spans="1:29" x14ac:dyDescent="0.2">
      <c r="A27" s="1" t="s">
        <v>41</v>
      </c>
      <c r="Q27" s="1">
        <v>575.048</v>
      </c>
      <c r="AC27" s="1">
        <v>575.048</v>
      </c>
    </row>
    <row r="28" spans="1:29" x14ac:dyDescent="0.2">
      <c r="A28" s="1" t="s">
        <v>42</v>
      </c>
      <c r="Q28" s="1">
        <v>129.25399999999999</v>
      </c>
      <c r="AC28" s="1">
        <v>129.25399999999999</v>
      </c>
    </row>
    <row r="29" spans="1:29" x14ac:dyDescent="0.2">
      <c r="A29" s="1" t="s">
        <v>43</v>
      </c>
      <c r="Q29" s="1">
        <v>39.637999999999998</v>
      </c>
      <c r="AC29" s="1">
        <v>39.637999999999998</v>
      </c>
    </row>
    <row r="30" spans="1:29" x14ac:dyDescent="0.2">
      <c r="A30" s="1" t="s">
        <v>44</v>
      </c>
      <c r="Q30" s="1">
        <v>200.74</v>
      </c>
      <c r="AC30" s="1">
        <v>200.74</v>
      </c>
    </row>
    <row r="31" spans="1:29" x14ac:dyDescent="0.2">
      <c r="A31" s="1" t="s">
        <v>45</v>
      </c>
      <c r="Q31" s="1">
        <v>166.21700000000001</v>
      </c>
      <c r="AC31" s="1">
        <v>166.21700000000001</v>
      </c>
    </row>
    <row r="32" spans="1:29" s="6" customFormat="1" x14ac:dyDescent="0.2">
      <c r="A32" s="6" t="s">
        <v>46</v>
      </c>
      <c r="Q32" s="6">
        <f>+SUM(Q26:Q31)</f>
        <v>6340.8839999999991</v>
      </c>
      <c r="AC32" s="6">
        <f>+SUM(AC26:AC31)</f>
        <v>6340.8839999999991</v>
      </c>
    </row>
    <row r="33" spans="1:29" x14ac:dyDescent="0.2">
      <c r="A33" s="1" t="s">
        <v>47</v>
      </c>
      <c r="Q33" s="1">
        <v>0.10299999999999999</v>
      </c>
      <c r="AC33" s="1">
        <v>0.10299999999999999</v>
      </c>
    </row>
    <row r="34" spans="1:29" x14ac:dyDescent="0.2">
      <c r="A34" s="1" t="s">
        <v>48</v>
      </c>
      <c r="Q34" s="1">
        <v>427.04599999999999</v>
      </c>
      <c r="AC34" s="1">
        <v>427.04599999999999</v>
      </c>
    </row>
    <row r="35" spans="1:29" x14ac:dyDescent="0.2">
      <c r="A35" s="1" t="s">
        <v>49</v>
      </c>
      <c r="Q35" s="1">
        <f>259.624+39.885</f>
        <v>299.50900000000001</v>
      </c>
      <c r="AC35" s="1">
        <f>259.624+39.885</f>
        <v>299.50900000000001</v>
      </c>
    </row>
    <row r="36" spans="1:29" x14ac:dyDescent="0.2">
      <c r="A36" s="1" t="s">
        <v>50</v>
      </c>
      <c r="Q36" s="1">
        <f>265.252+1.663</f>
        <v>266.91500000000002</v>
      </c>
      <c r="AC36" s="1">
        <f>265.252+1.663</f>
        <v>266.91500000000002</v>
      </c>
    </row>
    <row r="37" spans="1:29" x14ac:dyDescent="0.2">
      <c r="A37" s="1" t="s">
        <v>44</v>
      </c>
      <c r="Q37" s="1">
        <f>43.993+195.226</f>
        <v>239.21899999999999</v>
      </c>
      <c r="AC37" s="1">
        <f>43.993+195.226</f>
        <v>239.21899999999999</v>
      </c>
    </row>
    <row r="38" spans="1:29" x14ac:dyDescent="0.2">
      <c r="A38" s="1" t="s">
        <v>51</v>
      </c>
      <c r="Q38" s="1">
        <v>13.685</v>
      </c>
      <c r="AC38" s="1">
        <v>13.685</v>
      </c>
    </row>
    <row r="39" spans="1:29" s="6" customFormat="1" x14ac:dyDescent="0.2">
      <c r="A39" s="6" t="s">
        <v>52</v>
      </c>
      <c r="Q39" s="6">
        <f>+SUM(Q33:Q38)</f>
        <v>1246.4770000000001</v>
      </c>
      <c r="AC39" s="6">
        <f>+SUM(AC33:AC38)</f>
        <v>1246.4770000000001</v>
      </c>
    </row>
    <row r="40" spans="1:29" x14ac:dyDescent="0.2">
      <c r="A40" s="1" t="s">
        <v>53</v>
      </c>
      <c r="Q40" s="1">
        <v>5094.4070000000002</v>
      </c>
      <c r="AC40" s="1">
        <v>5094.4070000000002</v>
      </c>
    </row>
    <row r="41" spans="1:29" x14ac:dyDescent="0.2">
      <c r="A41" s="1" t="s">
        <v>54</v>
      </c>
      <c r="Q41" s="1">
        <f>+Q39+Q40</f>
        <v>6340.884</v>
      </c>
      <c r="AC41" s="1">
        <f>+AC39+AC40</f>
        <v>6340.884</v>
      </c>
    </row>
    <row r="43" spans="1:29" x14ac:dyDescent="0.2">
      <c r="A43" s="1" t="s">
        <v>59</v>
      </c>
      <c r="Q43" s="1">
        <f>+SUM(N14:Q14)</f>
        <v>485.94000000000028</v>
      </c>
    </row>
    <row r="44" spans="1:29" s="4" customFormat="1" x14ac:dyDescent="0.2">
      <c r="A44" s="4" t="s">
        <v>60</v>
      </c>
      <c r="Q44" s="4">
        <f>+Q43/(Q27+Q28+Q29+Q30+Q31)</f>
        <v>0.43743029281742613</v>
      </c>
    </row>
    <row r="46" spans="1:29" x14ac:dyDescent="0.2">
      <c r="A46" s="1" t="s">
        <v>55</v>
      </c>
      <c r="J46" s="1">
        <v>187.376</v>
      </c>
      <c r="K46" s="1">
        <v>277.56799999999998</v>
      </c>
      <c r="L46" s="1">
        <v>411.01100000000002</v>
      </c>
      <c r="M46" s="1">
        <f>+AB46-SUM(J46:L46)</f>
        <v>-163.77199999999993</v>
      </c>
      <c r="N46" s="1">
        <v>129.57900000000001</v>
      </c>
      <c r="O46" s="1">
        <v>273.76600000000002</v>
      </c>
      <c r="P46" s="1">
        <v>693.53800000000001</v>
      </c>
      <c r="Q46" s="1">
        <f>+AC46-SUM(N46:P46)</f>
        <v>56.981999999999971</v>
      </c>
      <c r="AA46" s="1">
        <v>223.73699999999999</v>
      </c>
      <c r="AB46" s="1">
        <v>712.18299999999999</v>
      </c>
      <c r="AC46" s="1">
        <v>1153.865</v>
      </c>
    </row>
    <row r="47" spans="1:29" x14ac:dyDescent="0.2">
      <c r="A47" s="1" t="s">
        <v>56</v>
      </c>
      <c r="J47" s="1">
        <v>-4.7549999999999999</v>
      </c>
      <c r="K47" s="1">
        <v>-8.6890000000000001</v>
      </c>
      <c r="L47" s="1">
        <v>-10.254</v>
      </c>
      <c r="M47" s="1">
        <f>+AB47-SUM(J47:L47)</f>
        <v>8.5839999999999996</v>
      </c>
      <c r="N47" s="1">
        <v>-2.6640000000000001</v>
      </c>
      <c r="O47" s="1">
        <v>-5.5430000000000001</v>
      </c>
      <c r="P47" s="1">
        <v>-9.5280000000000005</v>
      </c>
      <c r="Q47" s="1">
        <f>+AC47-SUM(N47:P47)</f>
        <v>5.1009999999999991</v>
      </c>
      <c r="AA47" s="1">
        <v>-40.027000000000001</v>
      </c>
      <c r="AB47" s="1">
        <v>-15.114000000000001</v>
      </c>
      <c r="AC47" s="1">
        <v>-12.634</v>
      </c>
    </row>
    <row r="48" spans="1:29" s="6" customFormat="1" x14ac:dyDescent="0.2">
      <c r="A48" s="6" t="s">
        <v>57</v>
      </c>
      <c r="J48" s="6">
        <f t="shared" ref="J48:O48" si="8">+J46+J47</f>
        <v>182.62100000000001</v>
      </c>
      <c r="K48" s="6">
        <f t="shared" si="8"/>
        <v>268.87899999999996</v>
      </c>
      <c r="L48" s="6">
        <f>+L46+L47</f>
        <v>400.75700000000001</v>
      </c>
      <c r="M48" s="6">
        <f t="shared" si="8"/>
        <v>-155.18799999999993</v>
      </c>
      <c r="N48" s="6">
        <f t="shared" si="8"/>
        <v>126.91500000000001</v>
      </c>
      <c r="O48" s="6">
        <f t="shared" si="8"/>
        <v>268.22300000000001</v>
      </c>
      <c r="P48" s="6">
        <f>+P46+P47</f>
        <v>684.01</v>
      </c>
      <c r="Q48" s="6">
        <f>+Q46+Q47</f>
        <v>62.08299999999997</v>
      </c>
      <c r="AA48" s="6">
        <f t="shared" ref="AA48:AB48" si="9">+AA46+AA47</f>
        <v>183.70999999999998</v>
      </c>
      <c r="AB48" s="6">
        <f t="shared" si="9"/>
        <v>697.06899999999996</v>
      </c>
      <c r="AC48" s="6">
        <f>+AC46+AC47</f>
        <v>1141.231</v>
      </c>
    </row>
    <row r="49" spans="1:17" x14ac:dyDescent="0.2">
      <c r="A49" s="1" t="s">
        <v>58</v>
      </c>
      <c r="M49" s="1">
        <f t="shared" ref="M49:P49" si="10">+SUM(J48:M48)</f>
        <v>697.06900000000019</v>
      </c>
      <c r="N49" s="1">
        <f t="shared" si="10"/>
        <v>641.36300000000006</v>
      </c>
      <c r="O49" s="1">
        <f t="shared" si="10"/>
        <v>640.70700000000011</v>
      </c>
      <c r="P49" s="1">
        <f t="shared" si="10"/>
        <v>923.96</v>
      </c>
      <c r="Q49" s="1">
        <f>+SUM(N48:Q48)</f>
        <v>1141.2310000000002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</dc:creator>
  <cp:lastModifiedBy>Fidel</cp:lastModifiedBy>
  <dcterms:created xsi:type="dcterms:W3CDTF">2025-04-22T15:33:51Z</dcterms:created>
  <dcterms:modified xsi:type="dcterms:W3CDTF">2025-04-22T16:05:06Z</dcterms:modified>
</cp:coreProperties>
</file>