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D8AA1A01-5A04-4EDE-AE28-E91C341AD7BF}" xr6:coauthVersionLast="47" xr6:coauthVersionMax="47" xr10:uidLastSave="{00000000-0000-0000-0000-000000000000}"/>
  <bookViews>
    <workbookView xWindow="105" yWindow="105" windowWidth="14025" windowHeight="15405" activeTab="1" xr2:uid="{1A84EEBB-FBF7-46E0-B166-4848BA0D87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3" i="2" l="1"/>
  <c r="O70" i="2"/>
  <c r="O71" i="2" s="1"/>
  <c r="O62" i="2"/>
  <c r="O61" i="2"/>
  <c r="O58" i="2"/>
  <c r="O57" i="2"/>
  <c r="O47" i="2"/>
  <c r="O44" i="2"/>
  <c r="O43" i="2"/>
  <c r="O37" i="2"/>
  <c r="O33" i="2"/>
  <c r="O30" i="2"/>
  <c r="O39" i="2" s="1"/>
  <c r="K29" i="2"/>
  <c r="K70" i="2"/>
  <c r="K61" i="2"/>
  <c r="K62" i="2" s="1"/>
  <c r="K58" i="2"/>
  <c r="K73" i="2" s="1"/>
  <c r="K57" i="2"/>
  <c r="K44" i="2"/>
  <c r="K43" i="2"/>
  <c r="K47" i="2" s="1"/>
  <c r="K37" i="2"/>
  <c r="K39" i="2" s="1"/>
  <c r="K48" i="2" s="1"/>
  <c r="K49" i="2" s="1"/>
  <c r="K33" i="2"/>
  <c r="K30" i="2"/>
  <c r="N13" i="2"/>
  <c r="N8" i="2"/>
  <c r="N5" i="2"/>
  <c r="N27" i="2" s="1"/>
  <c r="M13" i="2"/>
  <c r="M8" i="2"/>
  <c r="M5" i="2"/>
  <c r="M27" i="2" s="1"/>
  <c r="L13" i="2"/>
  <c r="L8" i="2"/>
  <c r="L5" i="2"/>
  <c r="L27" i="2" s="1"/>
  <c r="K27" i="2"/>
  <c r="J13" i="2"/>
  <c r="J8" i="2"/>
  <c r="J5" i="2"/>
  <c r="I13" i="2"/>
  <c r="I8" i="2"/>
  <c r="I5" i="2"/>
  <c r="H13" i="2"/>
  <c r="H8" i="2"/>
  <c r="H5" i="2"/>
  <c r="G27" i="2"/>
  <c r="G13" i="2"/>
  <c r="G8" i="2"/>
  <c r="G5" i="2"/>
  <c r="F13" i="2"/>
  <c r="F8" i="2"/>
  <c r="F5" i="2"/>
  <c r="E13" i="2"/>
  <c r="E8" i="2"/>
  <c r="E5" i="2"/>
  <c r="E9" i="2" s="1"/>
  <c r="D13" i="2"/>
  <c r="D8" i="2"/>
  <c r="D5" i="2"/>
  <c r="O27" i="2"/>
  <c r="C13" i="2"/>
  <c r="C8" i="2"/>
  <c r="C5" i="2"/>
  <c r="O13" i="2"/>
  <c r="O8" i="2"/>
  <c r="O5" i="2"/>
  <c r="K13" i="2"/>
  <c r="K8" i="2"/>
  <c r="K5" i="2"/>
  <c r="K9" i="2" s="1"/>
  <c r="K9" i="1"/>
  <c r="K7" i="1"/>
  <c r="K6" i="1"/>
  <c r="K71" i="2" l="1"/>
  <c r="H27" i="2"/>
  <c r="I27" i="2"/>
  <c r="J27" i="2"/>
  <c r="O48" i="2"/>
  <c r="O49" i="2" s="1"/>
  <c r="N9" i="2"/>
  <c r="M9" i="2"/>
  <c r="M22" i="2" s="1"/>
  <c r="L9" i="2"/>
  <c r="J9" i="2"/>
  <c r="I9" i="2"/>
  <c r="I14" i="2" s="1"/>
  <c r="H9" i="2"/>
  <c r="G9" i="2"/>
  <c r="G22" i="2" s="1"/>
  <c r="F9" i="2"/>
  <c r="F22" i="2" s="1"/>
  <c r="E22" i="2"/>
  <c r="D9" i="2"/>
  <c r="D22" i="2" s="1"/>
  <c r="C9" i="2"/>
  <c r="C22" i="2" s="1"/>
  <c r="O9" i="2"/>
  <c r="O14" i="2" s="1"/>
  <c r="K22" i="2"/>
  <c r="K14" i="2"/>
  <c r="O22" i="2" l="1"/>
  <c r="N14" i="2"/>
  <c r="N22" i="2"/>
  <c r="M14" i="2"/>
  <c r="M23" i="2" s="1"/>
  <c r="L14" i="2"/>
  <c r="L22" i="2"/>
  <c r="J22" i="2"/>
  <c r="J14" i="2"/>
  <c r="I22" i="2"/>
  <c r="I16" i="2"/>
  <c r="I23" i="2"/>
  <c r="H22" i="2"/>
  <c r="H14" i="2"/>
  <c r="G14" i="2"/>
  <c r="G23" i="2" s="1"/>
  <c r="F14" i="2"/>
  <c r="F23" i="2" s="1"/>
  <c r="E14" i="2"/>
  <c r="E23" i="2" s="1"/>
  <c r="D14" i="2"/>
  <c r="D16" i="2" s="1"/>
  <c r="D23" i="2"/>
  <c r="C14" i="2"/>
  <c r="C23" i="2" s="1"/>
  <c r="O23" i="2"/>
  <c r="O16" i="2"/>
  <c r="K23" i="2"/>
  <c r="K16" i="2"/>
  <c r="N23" i="2" l="1"/>
  <c r="N16" i="2"/>
  <c r="M16" i="2"/>
  <c r="M25" i="2" s="1"/>
  <c r="L23" i="2"/>
  <c r="L16" i="2"/>
  <c r="J23" i="2"/>
  <c r="J16" i="2"/>
  <c r="I25" i="2"/>
  <c r="I18" i="2"/>
  <c r="H23" i="2"/>
  <c r="H16" i="2"/>
  <c r="G16" i="2"/>
  <c r="G25" i="2" s="1"/>
  <c r="F16" i="2"/>
  <c r="F25" i="2" s="1"/>
  <c r="E16" i="2"/>
  <c r="E25" i="2" s="1"/>
  <c r="D25" i="2"/>
  <c r="D18" i="2"/>
  <c r="C16" i="2"/>
  <c r="C18" i="2" s="1"/>
  <c r="O25" i="2"/>
  <c r="O18" i="2"/>
  <c r="O51" i="2" s="1"/>
  <c r="K25" i="2"/>
  <c r="K18" i="2"/>
  <c r="K51" i="2" s="1"/>
  <c r="N25" i="2" l="1"/>
  <c r="N18" i="2"/>
  <c r="M18" i="2"/>
  <c r="M24" i="2" s="1"/>
  <c r="L25" i="2"/>
  <c r="L18" i="2"/>
  <c r="J25" i="2"/>
  <c r="J18" i="2"/>
  <c r="I24" i="2"/>
  <c r="I19" i="2"/>
  <c r="H25" i="2"/>
  <c r="H18" i="2"/>
  <c r="G18" i="2"/>
  <c r="G24" i="2" s="1"/>
  <c r="F18" i="2"/>
  <c r="F24" i="2" s="1"/>
  <c r="F19" i="2"/>
  <c r="E18" i="2"/>
  <c r="E24" i="2" s="1"/>
  <c r="D24" i="2"/>
  <c r="D19" i="2"/>
  <c r="C25" i="2"/>
  <c r="C24" i="2"/>
  <c r="C19" i="2"/>
  <c r="O24" i="2"/>
  <c r="O19" i="2"/>
  <c r="K24" i="2"/>
  <c r="K19" i="2"/>
  <c r="G19" i="2" l="1"/>
  <c r="N19" i="2"/>
  <c r="N24" i="2"/>
  <c r="M19" i="2"/>
  <c r="L24" i="2"/>
  <c r="L19" i="2"/>
  <c r="J24" i="2"/>
  <c r="J19" i="2"/>
  <c r="H24" i="2"/>
  <c r="H19" i="2"/>
  <c r="E19" i="2"/>
</calcChain>
</file>

<file path=xl/sharedStrings.xml><?xml version="1.0" encoding="utf-8"?>
<sst xmlns="http://schemas.openxmlformats.org/spreadsheetml/2006/main" count="86" uniqueCount="78">
  <si>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</si>
  <si>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</si>
  <si>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</si>
  <si>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</si>
  <si>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</si>
  <si>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</si>
  <si>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</si>
  <si>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</si>
  <si>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</si>
  <si>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Product</t>
  </si>
  <si>
    <t>Subscription services</t>
  </si>
  <si>
    <t>R&amp;D</t>
  </si>
  <si>
    <t>S&amp;M</t>
  </si>
  <si>
    <t>G&amp;A</t>
  </si>
  <si>
    <t>OpEx</t>
  </si>
  <si>
    <t>OpIn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</si>
  <si>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</si>
  <si>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</si>
  <si>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</si>
  <si>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</si>
  <si>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</si>
  <si>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</si>
  <si>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</si>
  <si>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</si>
  <si>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</si>
  <si>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</si>
  <si>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</si>
  <si>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</si>
  <si>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</si>
  <si>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</si>
  <si>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</si>
  <si>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</si>
  <si>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</si>
  <si>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</si>
  <si>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</si>
  <si>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</si>
  <si>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</si>
  <si>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</si>
  <si>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</si>
  <si>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</si>
  <si>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</si>
  <si>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</si>
  <si>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</si>
  <si>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Net cash</t>
  </si>
  <si>
    <t>A/R</t>
  </si>
  <si>
    <t>Inventory</t>
  </si>
  <si>
    <t>Deferred commissions</t>
  </si>
  <si>
    <t>Prepaid</t>
  </si>
  <si>
    <t>PP&amp;E</t>
  </si>
  <si>
    <t>Lease</t>
  </si>
  <si>
    <t>Goodwill</t>
  </si>
  <si>
    <t>Other</t>
  </si>
  <si>
    <t>Assets</t>
  </si>
  <si>
    <t>A/P</t>
  </si>
  <si>
    <t>Accrued benefits</t>
  </si>
  <si>
    <t>Accrued liabilities</t>
  </si>
  <si>
    <t>DR</t>
  </si>
  <si>
    <t>Liabilties</t>
  </si>
  <si>
    <t>S/E</t>
  </si>
  <si>
    <t>L+S/E</t>
  </si>
  <si>
    <t>Reported NI</t>
  </si>
  <si>
    <t>D&amp;A</t>
  </si>
  <si>
    <t>SBC</t>
  </si>
  <si>
    <t>Working capital</t>
  </si>
  <si>
    <t>CFFO</t>
  </si>
  <si>
    <t>CapEx</t>
  </si>
  <si>
    <t>Securities</t>
  </si>
  <si>
    <t>CFFI</t>
  </si>
  <si>
    <t>Stock options</t>
  </si>
  <si>
    <t>ESOP</t>
  </si>
  <si>
    <t>Debt payments</t>
  </si>
  <si>
    <t>Borrowings</t>
  </si>
  <si>
    <t>Tax equity awards</t>
  </si>
  <si>
    <t>Buybacks</t>
  </si>
  <si>
    <t>CFFF</t>
  </si>
  <si>
    <t>CIC</t>
  </si>
  <si>
    <t>CFFO+CapEx+SBC</t>
  </si>
  <si>
    <t xml:space="preserve">Impairment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</si>
</sst>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53B1-9FB3-4711-AC30-72F3026E9A63}">
  <dimension ref="J4:K10"/>
  <sheetViews>
    <sheetView workbookViewId="0">
      <selection activeCell="K10" sqref="K10"/>
    </sheetView>
  </sheetViews>
  <sheetFormatPr defaultRowHeight="12.75" x14ac:dyDescent="0.2"/>
  <sheetData>
    <row r="4" spans="10:11" x14ac:dyDescent="0.2">
      <c r="J4" t="s">
        <v>0</v>
      </c>
      <c r="K4" s="1">
        <v>64</v>
      </c>
    </row>
    <row r="5" spans="10:11" x14ac:dyDescent="0.2">
      <c r="J5" t="s">
        <v>1</v>
      </c>
      <c r="K5" s="1">
        <v>325.23445800000002</v>
      </c>
    </row>
    <row r="6" spans="10:11" x14ac:dyDescent="0.2">
      <c r="J6" t="s">
        <v>2</v>
      </c>
      <c r="K6" s="1">
        <f>+K4*K5</f>
        <v>20815.005312000001</v>
      </c>
    </row>
    <row r="7" spans="10:11" x14ac:dyDescent="0.2">
      <c r="J7" t="s">
        <v>3</v>
      </c>
      <c r="K7" s="1">
        <f>702.536+828.557+9.595</f>
        <v>1540.6879999999999</v>
      </c>
    </row>
    <row r="8" spans="10:11" x14ac:dyDescent="0.2">
      <c r="J8" t="s">
        <v>4</v>
      </c>
      <c r="K8" s="1">
        <v>100</v>
      </c>
    </row>
    <row r="9" spans="10:11" x14ac:dyDescent="0.2">
      <c r="J9" t="s">
        <v>5</v>
      </c>
      <c r="K9" s="1">
        <f>+K6-K7+K8</f>
        <v>19374.317312000003</v>
      </c>
    </row>
    <row r="10" spans="10:11" x14ac:dyDescent="0.2">
      <c r="K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3D10-295B-4915-870E-A56A6CA08E81}">
  <dimension ref="B2:R73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P13" sqref="P13"/>
    </sheetView>
  </sheetViews>
  <sheetFormatPr defaultRowHeight="12.75" x14ac:dyDescent="0.2"/>
  <cols>
    <col min="1" max="1" width="2.28515625" style="1" customWidth="1"/>
    <col min="2" max="2" width="18.85546875" style="1" bestFit="1" customWidth="1"/>
    <col min="3" max="16384" width="9.140625" style="1"/>
  </cols>
  <sheetData>
    <row r="2" spans="2:18" s="5" customFormat="1" x14ac:dyDescent="0.2"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41</v>
      </c>
    </row>
    <row r="3" spans="2:18" x14ac:dyDescent="0.2">
      <c r="B3" s="1" t="s">
        <v>9</v>
      </c>
      <c r="C3" s="1">
        <v>249.88800000000001</v>
      </c>
      <c r="D3" s="1">
        <v>324.935</v>
      </c>
      <c r="E3" s="1">
        <v>374.91300000000001</v>
      </c>
      <c r="F3" s="1">
        <v>492.60199999999998</v>
      </c>
      <c r="G3" s="1">
        <v>401.161</v>
      </c>
      <c r="H3" s="1">
        <v>414.60300000000001</v>
      </c>
      <c r="I3" s="1">
        <v>431.28100000000001</v>
      </c>
      <c r="J3" s="1">
        <v>545.10799999999995</v>
      </c>
      <c r="K3" s="1">
        <v>308.96300000000002</v>
      </c>
      <c r="L3" s="1">
        <v>399.738</v>
      </c>
      <c r="M3" s="1">
        <v>453.27699999999999</v>
      </c>
      <c r="N3" s="1">
        <v>460.89100000000002</v>
      </c>
      <c r="O3" s="1">
        <v>347.38400000000001</v>
      </c>
    </row>
    <row r="4" spans="2:18" x14ac:dyDescent="0.2">
      <c r="B4" s="1" t="s">
        <v>10</v>
      </c>
      <c r="C4" s="1">
        <v>162.81899999999999</v>
      </c>
      <c r="D4" s="1">
        <v>171.89599999999999</v>
      </c>
      <c r="E4" s="1">
        <v>187.827</v>
      </c>
      <c r="F4" s="1">
        <v>215.96799999999999</v>
      </c>
      <c r="G4" s="1">
        <v>219.244</v>
      </c>
      <c r="H4" s="1">
        <v>232.16900000000001</v>
      </c>
      <c r="I4" s="1">
        <v>244.76900000000001</v>
      </c>
      <c r="J4" s="1">
        <v>265.09899999999999</v>
      </c>
      <c r="K4" s="1">
        <v>280.34399999999999</v>
      </c>
      <c r="L4" s="1">
        <v>288.93299999999999</v>
      </c>
      <c r="M4" s="1">
        <v>309.56099999999998</v>
      </c>
      <c r="N4" s="1">
        <v>328.91399999999999</v>
      </c>
      <c r="O4" s="1">
        <v>346.09500000000003</v>
      </c>
    </row>
    <row r="5" spans="2:18" s="6" customFormat="1" x14ac:dyDescent="0.2">
      <c r="B5" s="6" t="s">
        <v>6</v>
      </c>
      <c r="C5" s="6">
        <f>+C3+C4</f>
        <v>412.70699999999999</v>
      </c>
      <c r="D5" s="6">
        <f>+D3+D4</f>
        <v>496.83100000000002</v>
      </c>
      <c r="E5" s="6">
        <f>+E3+E4</f>
        <v>562.74</v>
      </c>
      <c r="F5" s="6">
        <f>+F3+F4</f>
        <v>708.56999999999994</v>
      </c>
      <c r="G5" s="6">
        <f>+G3+G4</f>
        <v>620.40499999999997</v>
      </c>
      <c r="H5" s="6">
        <f>+H3+H4</f>
        <v>646.77200000000005</v>
      </c>
      <c r="I5" s="6">
        <f>+I3+I4</f>
        <v>676.05</v>
      </c>
      <c r="J5" s="6">
        <f>+J3+J4</f>
        <v>810.20699999999988</v>
      </c>
      <c r="K5" s="6">
        <f>+K3+K4</f>
        <v>589.30700000000002</v>
      </c>
      <c r="L5" s="6">
        <f>+L3+L4</f>
        <v>688.67100000000005</v>
      </c>
      <c r="M5" s="6">
        <f>+M3+M4</f>
        <v>762.83799999999997</v>
      </c>
      <c r="N5" s="6">
        <f>+N3+N4</f>
        <v>789.80500000000006</v>
      </c>
      <c r="O5" s="6">
        <f>+O3+O4</f>
        <v>693.47900000000004</v>
      </c>
    </row>
    <row r="6" spans="2:18" x14ac:dyDescent="0.2">
      <c r="B6" s="1" t="s">
        <v>9</v>
      </c>
      <c r="C6" s="1">
        <v>79.063999999999993</v>
      </c>
      <c r="D6" s="1">
        <v>101.15</v>
      </c>
      <c r="E6" s="1">
        <v>129.721</v>
      </c>
      <c r="F6" s="1">
        <v>167.964</v>
      </c>
      <c r="G6" s="1">
        <v>125.48399999999999</v>
      </c>
      <c r="H6" s="1">
        <v>134.292</v>
      </c>
      <c r="I6" s="1">
        <v>135.54599999999999</v>
      </c>
      <c r="J6" s="1">
        <v>174.471</v>
      </c>
      <c r="K6" s="1">
        <v>96.212999999999994</v>
      </c>
      <c r="L6" s="1">
        <v>120.605</v>
      </c>
      <c r="M6" s="1">
        <v>126.77</v>
      </c>
      <c r="N6" s="1">
        <v>128.84200000000001</v>
      </c>
      <c r="O6" s="1">
        <v>100.753</v>
      </c>
    </row>
    <row r="7" spans="2:18" x14ac:dyDescent="0.2">
      <c r="B7" s="1" t="s">
        <v>10</v>
      </c>
      <c r="C7" s="1">
        <v>51.777000000000001</v>
      </c>
      <c r="D7" s="1">
        <v>55.654000000000003</v>
      </c>
      <c r="E7" s="1">
        <v>58.226999999999997</v>
      </c>
      <c r="F7" s="1">
        <v>64.772000000000006</v>
      </c>
      <c r="G7" s="1">
        <v>68.495000000000005</v>
      </c>
      <c r="H7" s="1">
        <v>68.912000000000006</v>
      </c>
      <c r="I7" s="1">
        <v>74.168999999999997</v>
      </c>
      <c r="J7" s="1">
        <v>74.418999999999997</v>
      </c>
      <c r="K7" s="1">
        <v>79.747</v>
      </c>
      <c r="L7" s="1">
        <v>81.472999999999999</v>
      </c>
      <c r="M7" s="1">
        <v>83.320999999999998</v>
      </c>
      <c r="N7" s="1">
        <v>92.459000000000003</v>
      </c>
      <c r="O7" s="1">
        <v>97.02</v>
      </c>
    </row>
    <row r="8" spans="2:18" x14ac:dyDescent="0.2">
      <c r="B8" s="1" t="s">
        <v>7</v>
      </c>
      <c r="C8" s="1">
        <f>+C6+C7</f>
        <v>130.84100000000001</v>
      </c>
      <c r="D8" s="1">
        <f>+D6+D7</f>
        <v>156.804</v>
      </c>
      <c r="E8" s="1">
        <f>+E6+E7</f>
        <v>187.94800000000001</v>
      </c>
      <c r="F8" s="1">
        <f>+F6+F7</f>
        <v>232.73599999999999</v>
      </c>
      <c r="G8" s="1">
        <f>+G6+G7</f>
        <v>193.97899999999998</v>
      </c>
      <c r="H8" s="1">
        <f>+H6+H7</f>
        <v>203.20400000000001</v>
      </c>
      <c r="I8" s="1">
        <f>+I6+I7</f>
        <v>209.71499999999997</v>
      </c>
      <c r="J8" s="1">
        <f>+J6+J7</f>
        <v>248.89</v>
      </c>
      <c r="K8" s="1">
        <f>+K6+K7</f>
        <v>175.95999999999998</v>
      </c>
      <c r="L8" s="1">
        <f>+L6+L7</f>
        <v>202.078</v>
      </c>
      <c r="M8" s="1">
        <f>+M6+M7</f>
        <v>210.09100000000001</v>
      </c>
      <c r="N8" s="1">
        <f>+N6+N7</f>
        <v>221.30100000000002</v>
      </c>
      <c r="O8" s="1">
        <f>+O6+O7</f>
        <v>197.773</v>
      </c>
    </row>
    <row r="9" spans="2:18" x14ac:dyDescent="0.2">
      <c r="B9" s="1" t="s">
        <v>8</v>
      </c>
      <c r="C9" s="1">
        <f>+C5-C8</f>
        <v>281.86599999999999</v>
      </c>
      <c r="D9" s="1">
        <f>+D5-D8</f>
        <v>340.02700000000004</v>
      </c>
      <c r="E9" s="1">
        <f>+E5-E8</f>
        <v>374.79200000000003</v>
      </c>
      <c r="F9" s="1">
        <f>+F5-F8</f>
        <v>475.83399999999995</v>
      </c>
      <c r="G9" s="1">
        <f>+G5-G8</f>
        <v>426.42599999999999</v>
      </c>
      <c r="H9" s="1">
        <f>+H5-H8</f>
        <v>443.56800000000004</v>
      </c>
      <c r="I9" s="1">
        <f>+I5-I8</f>
        <v>466.33499999999998</v>
      </c>
      <c r="J9" s="1">
        <f>+J5-J8</f>
        <v>561.31699999999989</v>
      </c>
      <c r="K9" s="1">
        <f>+K5-K8</f>
        <v>413.34700000000004</v>
      </c>
      <c r="L9" s="1">
        <f>+L5-L8</f>
        <v>486.59300000000007</v>
      </c>
      <c r="M9" s="1">
        <f>+M5-M8</f>
        <v>552.74699999999996</v>
      </c>
      <c r="N9" s="1">
        <f>+N5-N8</f>
        <v>568.50400000000002</v>
      </c>
      <c r="O9" s="1">
        <f>+O5-O8</f>
        <v>495.70600000000002</v>
      </c>
    </row>
    <row r="10" spans="2:18" x14ac:dyDescent="0.2">
      <c r="B10" s="1" t="s">
        <v>11</v>
      </c>
      <c r="C10" s="1">
        <v>131.381</v>
      </c>
      <c r="D10" s="1">
        <v>140.107</v>
      </c>
      <c r="E10" s="1">
        <v>147.80799999999999</v>
      </c>
      <c r="F10" s="1">
        <v>162.63900000000001</v>
      </c>
      <c r="G10" s="1">
        <v>161.273</v>
      </c>
      <c r="H10" s="1">
        <v>165.69</v>
      </c>
      <c r="I10" s="1">
        <v>180.00800000000001</v>
      </c>
      <c r="J10" s="1">
        <v>185.55699999999999</v>
      </c>
      <c r="K10" s="1">
        <v>185.33099999999999</v>
      </c>
      <c r="L10" s="1">
        <v>182.49199999999999</v>
      </c>
      <c r="M10" s="1">
        <v>182.1</v>
      </c>
      <c r="N10" s="1">
        <v>186.84100000000001</v>
      </c>
      <c r="O10" s="1">
        <v>193.82</v>
      </c>
    </row>
    <row r="11" spans="2:18" x14ac:dyDescent="0.2">
      <c r="B11" s="1" t="s">
        <v>12</v>
      </c>
      <c r="C11" s="1">
        <v>183.49600000000001</v>
      </c>
      <c r="D11" s="1">
        <v>190.386</v>
      </c>
      <c r="E11" s="1">
        <v>193.172</v>
      </c>
      <c r="F11" s="1">
        <v>231.947</v>
      </c>
      <c r="G11" s="1">
        <v>218.15299999999999</v>
      </c>
      <c r="H11" s="1">
        <v>206.83600000000001</v>
      </c>
      <c r="I11" s="1">
        <v>212.14</v>
      </c>
      <c r="J11" s="1">
        <v>246.48</v>
      </c>
      <c r="K11" s="1">
        <v>232.446</v>
      </c>
      <c r="L11" s="1">
        <v>232.732</v>
      </c>
      <c r="M11" s="1">
        <v>231.70699999999999</v>
      </c>
      <c r="N11" s="1">
        <v>248.136</v>
      </c>
      <c r="O11" s="1">
        <v>250.97200000000001</v>
      </c>
    </row>
    <row r="12" spans="2:18" x14ac:dyDescent="0.2">
      <c r="B12" s="1" t="s">
        <v>13</v>
      </c>
      <c r="C12" s="1">
        <v>43.146000000000001</v>
      </c>
      <c r="D12" s="1">
        <v>43.463999999999999</v>
      </c>
      <c r="E12" s="1">
        <v>51.89</v>
      </c>
      <c r="F12" s="1">
        <v>51.481000000000002</v>
      </c>
      <c r="G12" s="1">
        <v>51.567</v>
      </c>
      <c r="H12" s="1">
        <v>56.679000000000002</v>
      </c>
      <c r="I12" s="1">
        <v>65.054000000000002</v>
      </c>
      <c r="J12" s="1">
        <v>64.695999999999998</v>
      </c>
      <c r="K12" s="1">
        <v>67.384</v>
      </c>
      <c r="L12" s="1">
        <v>60.831000000000003</v>
      </c>
      <c r="M12" s="1">
        <v>64.728999999999999</v>
      </c>
      <c r="N12" s="1">
        <v>59.298999999999999</v>
      </c>
      <c r="O12" s="1">
        <v>76.787000000000006</v>
      </c>
    </row>
    <row r="13" spans="2:18" x14ac:dyDescent="0.2">
      <c r="B13" s="1" t="s">
        <v>14</v>
      </c>
      <c r="C13" s="1">
        <f>+SUM(C10:C12)</f>
        <v>358.02300000000002</v>
      </c>
      <c r="D13" s="1">
        <f>+SUM(D10:D12)</f>
        <v>373.95699999999999</v>
      </c>
      <c r="E13" s="1">
        <f>+SUM(E10:E12)</f>
        <v>392.87</v>
      </c>
      <c r="F13" s="1">
        <f>+SUM(F10:F12)</f>
        <v>446.06700000000001</v>
      </c>
      <c r="G13" s="1">
        <f>+SUM(G10:G12)</f>
        <v>430.99299999999999</v>
      </c>
      <c r="H13" s="1">
        <f>+SUM(H10:H12)</f>
        <v>429.20500000000004</v>
      </c>
      <c r="I13" s="1">
        <f>+SUM(I10:I12)</f>
        <v>457.202</v>
      </c>
      <c r="J13" s="1">
        <f>+SUM(J10:J12)</f>
        <v>496.73299999999995</v>
      </c>
      <c r="K13" s="1">
        <f>+SUM(K10:K12)</f>
        <v>485.161</v>
      </c>
      <c r="L13" s="1">
        <f>+SUM(L10:L12)</f>
        <v>476.05500000000001</v>
      </c>
      <c r="M13" s="1">
        <f>+SUM(M10:M12)</f>
        <v>478.536</v>
      </c>
      <c r="N13" s="1">
        <f>+SUM(N10:N12)</f>
        <v>494.27599999999995</v>
      </c>
      <c r="O13" s="1">
        <f>+SUM(O10:O12)</f>
        <v>521.57900000000006</v>
      </c>
    </row>
    <row r="14" spans="2:18" x14ac:dyDescent="0.2">
      <c r="B14" s="1" t="s">
        <v>15</v>
      </c>
      <c r="C14" s="1">
        <f>+C9-C13</f>
        <v>-76.157000000000039</v>
      </c>
      <c r="D14" s="1">
        <f>+D9-D13</f>
        <v>-33.92999999999995</v>
      </c>
      <c r="E14" s="1">
        <f>+E9-E13</f>
        <v>-18.077999999999975</v>
      </c>
      <c r="F14" s="1">
        <f>+F9-F13</f>
        <v>29.766999999999939</v>
      </c>
      <c r="G14" s="1">
        <f>+G9-G13</f>
        <v>-4.5670000000000073</v>
      </c>
      <c r="H14" s="1">
        <f>+H9-H13</f>
        <v>14.363</v>
      </c>
      <c r="I14" s="1">
        <f>+I9-I13</f>
        <v>9.1329999999999814</v>
      </c>
      <c r="J14" s="1">
        <f>+J9-J13</f>
        <v>64.583999999999946</v>
      </c>
      <c r="K14" s="1">
        <f>+K9-K13</f>
        <v>-71.813999999999965</v>
      </c>
      <c r="L14" s="1">
        <f>+L9-L13</f>
        <v>10.538000000000068</v>
      </c>
      <c r="M14" s="1">
        <f>+M9-M13</f>
        <v>74.210999999999956</v>
      </c>
      <c r="N14" s="1">
        <f>+N9-N13</f>
        <v>74.228000000000065</v>
      </c>
      <c r="O14" s="1">
        <f>+O9-O13</f>
        <v>-25.873000000000047</v>
      </c>
    </row>
    <row r="15" spans="2:18" x14ac:dyDescent="0.2">
      <c r="B15" s="1" t="s">
        <v>16</v>
      </c>
      <c r="C15" s="1">
        <v>-4.7270000000000003</v>
      </c>
      <c r="D15" s="1">
        <v>-7.41</v>
      </c>
      <c r="E15" s="1">
        <v>-7.9530000000000003</v>
      </c>
      <c r="F15" s="1">
        <v>-10.007999999999999</v>
      </c>
      <c r="G15" s="1">
        <v>-6.181</v>
      </c>
      <c r="H15" s="1">
        <v>0.58499999999999996</v>
      </c>
      <c r="I15" s="1">
        <v>-2.8140000000000001</v>
      </c>
      <c r="J15" s="1">
        <v>16.704999999999998</v>
      </c>
      <c r="K15" s="1">
        <v>11.749000000000001</v>
      </c>
      <c r="L15" s="1">
        <v>6.6859999999999999</v>
      </c>
      <c r="M15" s="1">
        <v>5.1840000000000002</v>
      </c>
      <c r="N15" s="1">
        <v>13.416</v>
      </c>
      <c r="O15" s="1">
        <v>14.090999999999999</v>
      </c>
    </row>
    <row r="16" spans="2:18" x14ac:dyDescent="0.2">
      <c r="B16" s="1" t="s">
        <v>17</v>
      </c>
      <c r="C16" s="1">
        <f>+C14+C15</f>
        <v>-80.884000000000043</v>
      </c>
      <c r="D16" s="1">
        <f>+D14+D15</f>
        <v>-41.339999999999947</v>
      </c>
      <c r="E16" s="1">
        <f>+E14+E15</f>
        <v>-26.030999999999974</v>
      </c>
      <c r="F16" s="1">
        <f>+F14+F15</f>
        <v>19.75899999999994</v>
      </c>
      <c r="G16" s="1">
        <f>+G14+G15</f>
        <v>-10.748000000000008</v>
      </c>
      <c r="H16" s="1">
        <f>+H14+H15</f>
        <v>14.948</v>
      </c>
      <c r="I16" s="1">
        <f>+I14+I15</f>
        <v>6.3189999999999813</v>
      </c>
      <c r="J16" s="1">
        <f>+J14+J15</f>
        <v>81.288999999999945</v>
      </c>
      <c r="K16" s="1">
        <f>+K14+K15</f>
        <v>-60.064999999999962</v>
      </c>
      <c r="L16" s="1">
        <f>+L14+L15</f>
        <v>17.224000000000068</v>
      </c>
      <c r="M16" s="1">
        <f>+M14+M15</f>
        <v>79.394999999999953</v>
      </c>
      <c r="N16" s="1">
        <f>+N14+N15</f>
        <v>87.644000000000062</v>
      </c>
      <c r="O16" s="1">
        <f>+O14+O15</f>
        <v>-11.782000000000048</v>
      </c>
    </row>
    <row r="17" spans="2:15" x14ac:dyDescent="0.2">
      <c r="B17" s="1" t="s">
        <v>18</v>
      </c>
      <c r="C17" s="1">
        <v>3.3220000000000001</v>
      </c>
      <c r="D17" s="1">
        <v>3.9249999999999998</v>
      </c>
      <c r="E17" s="1">
        <v>2.7</v>
      </c>
      <c r="F17" s="1">
        <v>4.8159999999999998</v>
      </c>
      <c r="G17" s="1">
        <v>0.78700000000000003</v>
      </c>
      <c r="H17" s="1">
        <v>4.0259999999999998</v>
      </c>
      <c r="I17" s="1">
        <v>7.1059999999999999</v>
      </c>
      <c r="J17" s="1">
        <v>6.8179999999999996</v>
      </c>
      <c r="K17" s="1">
        <v>7.3360000000000003</v>
      </c>
      <c r="L17" s="1">
        <v>7.5730000000000004</v>
      </c>
      <c r="M17" s="1">
        <v>9.0060000000000002</v>
      </c>
      <c r="N17" s="1">
        <v>5.36</v>
      </c>
      <c r="O17" s="1">
        <v>7.3259999999999996</v>
      </c>
    </row>
    <row r="18" spans="2:15" x14ac:dyDescent="0.2">
      <c r="B18" s="1" t="s">
        <v>19</v>
      </c>
      <c r="C18" s="1">
        <f>+C16-C17</f>
        <v>-84.206000000000046</v>
      </c>
      <c r="D18" s="1">
        <f>+D16-D17</f>
        <v>-45.264999999999944</v>
      </c>
      <c r="E18" s="1">
        <f>+E16-E17</f>
        <v>-28.730999999999973</v>
      </c>
      <c r="F18" s="1">
        <f>+F16-F17</f>
        <v>14.942999999999941</v>
      </c>
      <c r="G18" s="1">
        <f>+G16-G17</f>
        <v>-11.535000000000009</v>
      </c>
      <c r="H18" s="1">
        <f>+H16-H17</f>
        <v>10.922000000000001</v>
      </c>
      <c r="I18" s="1">
        <f>+I16-I17</f>
        <v>-0.78700000000001857</v>
      </c>
      <c r="J18" s="1">
        <f>+J16-J17</f>
        <v>74.470999999999947</v>
      </c>
      <c r="K18" s="1">
        <f>+K16-K17</f>
        <v>-67.400999999999968</v>
      </c>
      <c r="L18" s="1">
        <f>+L16-L17</f>
        <v>9.6510000000000673</v>
      </c>
      <c r="M18" s="1">
        <f>+M16-M17</f>
        <v>70.388999999999953</v>
      </c>
      <c r="N18" s="1">
        <f>+N16-N17</f>
        <v>82.284000000000063</v>
      </c>
      <c r="O18" s="1">
        <f>+O16-O17</f>
        <v>-19.108000000000047</v>
      </c>
    </row>
    <row r="19" spans="2:15" x14ac:dyDescent="0.2">
      <c r="B19" s="1" t="s">
        <v>20</v>
      </c>
      <c r="C19" s="2">
        <f>+C18/C20</f>
        <v>-0.3003806214796082</v>
      </c>
      <c r="D19" s="2">
        <f>+D18/D20</f>
        <v>-0.15942253575692666</v>
      </c>
      <c r="E19" s="2">
        <f>+E18/E20</f>
        <v>-9.9947123445881456E-2</v>
      </c>
      <c r="F19" s="2">
        <f>+F18/F20</f>
        <v>4.7098982563636871E-2</v>
      </c>
      <c r="G19" s="2">
        <f>+G18/G20</f>
        <v>-3.899027524734406E-2</v>
      </c>
      <c r="H19" s="2">
        <f>+H18/H20</f>
        <v>3.4925812228191355E-2</v>
      </c>
      <c r="I19" s="2">
        <f>+I18/I20</f>
        <v>-2.614756930601024E-3</v>
      </c>
      <c r="J19" s="2">
        <f>+J18/J20</f>
        <v>0.21922643281257803</v>
      </c>
      <c r="K19" s="2">
        <f>+K18/K20</f>
        <v>-0.22036336529753506</v>
      </c>
      <c r="L19" s="2">
        <f>+L18/L20</f>
        <v>3.1181545022778159E-2</v>
      </c>
      <c r="M19" s="2">
        <f>+M18/M20</f>
        <v>0.21313530453740279</v>
      </c>
      <c r="N19" s="2">
        <f>+N18/N20</f>
        <v>0.24783292270807875</v>
      </c>
      <c r="O19" s="2">
        <f>+O18/O20</f>
        <v>-5.9233265858414409E-2</v>
      </c>
    </row>
    <row r="20" spans="2:15" x14ac:dyDescent="0.2">
      <c r="B20" s="1" t="s">
        <v>1</v>
      </c>
      <c r="C20" s="1">
        <v>280.33100000000002</v>
      </c>
      <c r="D20" s="1">
        <v>283.93099999999998</v>
      </c>
      <c r="E20" s="1">
        <v>287.46199999999999</v>
      </c>
      <c r="F20" s="1">
        <v>317.26799999999997</v>
      </c>
      <c r="G20" s="1">
        <v>295.84300000000002</v>
      </c>
      <c r="H20" s="1">
        <v>312.72000000000003</v>
      </c>
      <c r="I20" s="1">
        <v>300.98399999999998</v>
      </c>
      <c r="J20" s="1">
        <v>339.69900000000001</v>
      </c>
      <c r="K20" s="1">
        <v>305.863</v>
      </c>
      <c r="L20" s="1">
        <v>309.51</v>
      </c>
      <c r="M20" s="1">
        <v>330.255</v>
      </c>
      <c r="N20" s="1">
        <v>332.01400000000001</v>
      </c>
      <c r="O20" s="1">
        <v>322.589</v>
      </c>
    </row>
    <row r="22" spans="2:15" s="3" customFormat="1" x14ac:dyDescent="0.2">
      <c r="B22" s="3" t="s">
        <v>21</v>
      </c>
      <c r="C22" s="3">
        <f>+C9/C5</f>
        <v>0.68296878899558278</v>
      </c>
      <c r="D22" s="3">
        <f>+D9/D5</f>
        <v>0.68439167443255355</v>
      </c>
      <c r="E22" s="3">
        <f>+E9/E5</f>
        <v>0.66601272346021256</v>
      </c>
      <c r="F22" s="3">
        <f>+F9/F5</f>
        <v>0.67154127326869606</v>
      </c>
      <c r="G22" s="3">
        <f>+G9/G5</f>
        <v>0.68733488608247839</v>
      </c>
      <c r="H22" s="3">
        <f>+H9/H5</f>
        <v>0.68581818631604341</v>
      </c>
      <c r="I22" s="3">
        <f>+I9/I5</f>
        <v>0.68979365431550921</v>
      </c>
      <c r="J22" s="3">
        <f>+J9/J5</f>
        <v>0.69280689996507061</v>
      </c>
      <c r="K22" s="3">
        <f>+K9/K5</f>
        <v>0.70141199748178795</v>
      </c>
      <c r="L22" s="3">
        <f>+L9/L5</f>
        <v>0.7065681580900024</v>
      </c>
      <c r="M22" s="3">
        <f>+M9/M5</f>
        <v>0.72459290176944513</v>
      </c>
      <c r="N22" s="3">
        <f>+N9/N5</f>
        <v>0.71980298934547127</v>
      </c>
      <c r="O22" s="3">
        <f>+O9/O5</f>
        <v>0.71481039800772628</v>
      </c>
    </row>
    <row r="23" spans="2:15" s="3" customFormat="1" x14ac:dyDescent="0.2">
      <c r="B23" s="3" t="s">
        <v>22</v>
      </c>
      <c r="C23" s="3">
        <f>+C14/C5</f>
        <v>-0.18453042957836926</v>
      </c>
      <c r="D23" s="3">
        <f>+D14/D5</f>
        <v>-6.8292840020046958E-2</v>
      </c>
      <c r="E23" s="3">
        <f>+E14/E5</f>
        <v>-3.2124960017059341E-2</v>
      </c>
      <c r="F23" s="3">
        <f>+F14/F5</f>
        <v>4.2009963729765502E-2</v>
      </c>
      <c r="G23" s="3">
        <f>+G14/G5</f>
        <v>-7.3613204277850879E-3</v>
      </c>
      <c r="H23" s="3">
        <f>+H14/H5</f>
        <v>2.2207207485790973E-2</v>
      </c>
      <c r="I23" s="3">
        <f>+I14/I5</f>
        <v>1.3509355816877424E-2</v>
      </c>
      <c r="J23" s="3">
        <f>+J14/J5</f>
        <v>7.9712962242982299E-2</v>
      </c>
      <c r="K23" s="3">
        <f>+K14/K5</f>
        <v>-0.12186178002297608</v>
      </c>
      <c r="L23" s="3">
        <f>+L14/L5</f>
        <v>1.5301936628666035E-2</v>
      </c>
      <c r="M23" s="3">
        <f>+M14/M5</f>
        <v>9.7282778256982422E-2</v>
      </c>
      <c r="N23" s="3">
        <f>+N14/N5</f>
        <v>9.398269193028666E-2</v>
      </c>
      <c r="O23" s="3">
        <f>+O14/O5</f>
        <v>-3.7308988448100155E-2</v>
      </c>
    </row>
    <row r="24" spans="2:15" s="3" customFormat="1" x14ac:dyDescent="0.2">
      <c r="B24" s="3" t="s">
        <v>23</v>
      </c>
      <c r="C24" s="3">
        <f>+C18/C5</f>
        <v>-0.20403336992103369</v>
      </c>
      <c r="D24" s="3">
        <f>+D18/D5</f>
        <v>-9.1107438948052635E-2</v>
      </c>
      <c r="E24" s="3">
        <f>+E18/E5</f>
        <v>-5.1055549632156895E-2</v>
      </c>
      <c r="F24" s="3">
        <f>+F18/F5</f>
        <v>2.1088953808374531E-2</v>
      </c>
      <c r="G24" s="3">
        <f>+G18/G5</f>
        <v>-1.8592693482483231E-2</v>
      </c>
      <c r="H24" s="3">
        <f>+H18/H5</f>
        <v>1.6886940065432642E-2</v>
      </c>
      <c r="I24" s="3">
        <f>+I18/I5</f>
        <v>-1.1641150802455715E-3</v>
      </c>
      <c r="J24" s="3">
        <f>+J18/J5</f>
        <v>9.1916016524172167E-2</v>
      </c>
      <c r="K24" s="3">
        <f>+K18/K5</f>
        <v>-0.11437332324238464</v>
      </c>
      <c r="L24" s="3">
        <f>+L18/L5</f>
        <v>1.4013948605357372E-2</v>
      </c>
      <c r="M24" s="3">
        <f>+M18/M5</f>
        <v>9.2272540172356324E-2</v>
      </c>
      <c r="N24" s="3">
        <f>+N18/N5</f>
        <v>0.10418267800279823</v>
      </c>
      <c r="O24" s="3">
        <f>+O18/O5</f>
        <v>-2.7553826431658414E-2</v>
      </c>
    </row>
    <row r="25" spans="2:15" s="3" customFormat="1" x14ac:dyDescent="0.2">
      <c r="B25" s="3" t="s">
        <v>24</v>
      </c>
      <c r="C25" s="3">
        <f>+C17/C16</f>
        <v>-4.107116364175855E-2</v>
      </c>
      <c r="D25" s="3">
        <f>+D17/D16</f>
        <v>-9.4944363812288463E-2</v>
      </c>
      <c r="E25" s="3">
        <f>+E17/E16</f>
        <v>-0.10372248472974542</v>
      </c>
      <c r="F25" s="3">
        <f>+F17/F16</f>
        <v>0.24373703122627738</v>
      </c>
      <c r="G25" s="3">
        <f>+G17/G16</f>
        <v>-7.3222925195385133E-2</v>
      </c>
      <c r="H25" s="3">
        <f>+H17/H16</f>
        <v>0.2693336901257693</v>
      </c>
      <c r="I25" s="3">
        <f>+I17/I16</f>
        <v>1.124545022946672</v>
      </c>
      <c r="J25" s="3">
        <f>+J17/J16</f>
        <v>8.3873586832166766E-2</v>
      </c>
      <c r="K25" s="3">
        <f>+K17/K16</f>
        <v>-0.12213435444934663</v>
      </c>
      <c r="L25" s="3">
        <f>+L17/L16</f>
        <v>0.43967719461216737</v>
      </c>
      <c r="M25" s="3">
        <f>+M17/M16</f>
        <v>0.1134328358208956</v>
      </c>
      <c r="N25" s="3">
        <f>+N17/N16</f>
        <v>6.1156496736798828E-2</v>
      </c>
      <c r="O25" s="3">
        <f>+O17/O16</f>
        <v>-0.62179595993888725</v>
      </c>
    </row>
    <row r="26" spans="2:15" s="3" customFormat="1" x14ac:dyDescent="0.2"/>
    <row r="27" spans="2:15" s="4" customFormat="1" x14ac:dyDescent="0.2">
      <c r="B27" s="4" t="s">
        <v>25</v>
      </c>
      <c r="G27" s="4">
        <f>+G5/C5-1</f>
        <v>0.50325775913662718</v>
      </c>
      <c r="H27" s="4">
        <f>+H5/D5-1</f>
        <v>0.30179477528576126</v>
      </c>
      <c r="I27" s="4">
        <f>+I5/E5-1</f>
        <v>0.20135408892205975</v>
      </c>
      <c r="J27" s="4">
        <f>+J5/F5-1</f>
        <v>0.14343960370887832</v>
      </c>
      <c r="K27" s="4">
        <f>+K5/G5-1</f>
        <v>-5.0125321362658237E-2</v>
      </c>
      <c r="L27" s="4">
        <f>+L5/H5-1</f>
        <v>6.4781715967914488E-2</v>
      </c>
      <c r="M27" s="4">
        <f>+M5/I5-1</f>
        <v>0.12837512018341846</v>
      </c>
      <c r="N27" s="4">
        <f>+N5/J5-1</f>
        <v>-2.5181219120545495E-2</v>
      </c>
      <c r="O27" s="4">
        <f>+O5/K5-1</f>
        <v>0.17677034211370302</v>
      </c>
    </row>
    <row r="29" spans="2:15" x14ac:dyDescent="0.2">
      <c r="B29" s="1" t="s">
        <v>43</v>
      </c>
      <c r="K29" s="1">
        <f>+K30-K45</f>
        <v>1093.96</v>
      </c>
    </row>
    <row r="30" spans="2:15" x14ac:dyDescent="0.2">
      <c r="B30" s="1" t="s">
        <v>3</v>
      </c>
      <c r="K30" s="1">
        <f>378.285+805.715+9.96</f>
        <v>1193.96</v>
      </c>
      <c r="O30" s="1">
        <f>900.615+823.397+9.595</f>
        <v>1733.6070000000002</v>
      </c>
    </row>
    <row r="31" spans="2:15" x14ac:dyDescent="0.2">
      <c r="B31" s="1" t="s">
        <v>44</v>
      </c>
      <c r="K31" s="1">
        <v>391.286</v>
      </c>
      <c r="O31" s="1">
        <v>423.45400000000001</v>
      </c>
    </row>
    <row r="32" spans="2:15" x14ac:dyDescent="0.2">
      <c r="B32" s="1" t="s">
        <v>45</v>
      </c>
      <c r="K32" s="1">
        <v>51.820999999999998</v>
      </c>
      <c r="O32" s="1">
        <v>40.673999999999999</v>
      </c>
    </row>
    <row r="33" spans="2:15" x14ac:dyDescent="0.2">
      <c r="B33" s="1" t="s">
        <v>46</v>
      </c>
      <c r="K33" s="1">
        <f>68.826+179.362</f>
        <v>248.18799999999999</v>
      </c>
      <c r="O33" s="1">
        <f>85.386+211.24</f>
        <v>296.62599999999998</v>
      </c>
    </row>
    <row r="34" spans="2:15" x14ac:dyDescent="0.2">
      <c r="B34" s="1" t="s">
        <v>47</v>
      </c>
      <c r="K34" s="1">
        <v>171.82400000000001</v>
      </c>
      <c r="O34" s="1">
        <v>174.238</v>
      </c>
    </row>
    <row r="35" spans="2:15" x14ac:dyDescent="0.2">
      <c r="B35" s="1" t="s">
        <v>48</v>
      </c>
      <c r="K35" s="1">
        <v>302.89400000000001</v>
      </c>
      <c r="O35" s="1">
        <v>368.15300000000002</v>
      </c>
    </row>
    <row r="36" spans="2:15" x14ac:dyDescent="0.2">
      <c r="B36" s="1" t="s">
        <v>49</v>
      </c>
      <c r="K36" s="1">
        <v>155.20500000000001</v>
      </c>
      <c r="O36" s="1">
        <v>126.435</v>
      </c>
    </row>
    <row r="37" spans="2:15" x14ac:dyDescent="0.2">
      <c r="B37" s="1" t="s">
        <v>50</v>
      </c>
      <c r="K37" s="1">
        <f>45.064+361.427</f>
        <v>406.49100000000004</v>
      </c>
      <c r="O37" s="1">
        <f>29.156+361.427</f>
        <v>390.58300000000003</v>
      </c>
    </row>
    <row r="38" spans="2:15" x14ac:dyDescent="0.2">
      <c r="B38" s="1" t="s">
        <v>51</v>
      </c>
      <c r="K38" s="1">
        <v>37.584000000000003</v>
      </c>
      <c r="O38" s="1">
        <v>69.84</v>
      </c>
    </row>
    <row r="39" spans="2:15" s="6" customFormat="1" x14ac:dyDescent="0.2">
      <c r="B39" s="6" t="s">
        <v>52</v>
      </c>
      <c r="K39" s="6">
        <f>+SUM(K30:K38)</f>
        <v>2959.2529999999997</v>
      </c>
      <c r="O39" s="6">
        <f>+SUM(O30:O38)</f>
        <v>3623.6099999999997</v>
      </c>
    </row>
    <row r="40" spans="2:15" x14ac:dyDescent="0.2">
      <c r="B40" s="1" t="s">
        <v>53</v>
      </c>
      <c r="K40" s="1">
        <v>71.334000000000003</v>
      </c>
      <c r="O40" s="1">
        <v>55.709000000000003</v>
      </c>
    </row>
    <row r="41" spans="2:15" x14ac:dyDescent="0.2">
      <c r="B41" s="1" t="s">
        <v>54</v>
      </c>
      <c r="K41" s="1">
        <v>143.20400000000001</v>
      </c>
      <c r="O41" s="1">
        <v>137.66900000000001</v>
      </c>
    </row>
    <row r="42" spans="2:15" x14ac:dyDescent="0.2">
      <c r="B42" s="1" t="s">
        <v>55</v>
      </c>
      <c r="K42" s="1">
        <v>121.23</v>
      </c>
      <c r="O42" s="1">
        <v>127.88500000000001</v>
      </c>
    </row>
    <row r="43" spans="2:15" x14ac:dyDescent="0.2">
      <c r="B43" s="1" t="s">
        <v>49</v>
      </c>
      <c r="K43" s="1">
        <f>37.995+139.665</f>
        <v>177.66</v>
      </c>
      <c r="O43" s="1">
        <f>44.819+120.709</f>
        <v>165.52800000000002</v>
      </c>
    </row>
    <row r="44" spans="2:15" x14ac:dyDescent="0.2">
      <c r="B44" s="1" t="s">
        <v>56</v>
      </c>
      <c r="K44" s="1">
        <f>732.433+663.237</f>
        <v>1395.67</v>
      </c>
      <c r="O44" s="1">
        <f>860.221+741.255</f>
        <v>1601.4760000000001</v>
      </c>
    </row>
    <row r="45" spans="2:15" x14ac:dyDescent="0.2">
      <c r="B45" s="1" t="s">
        <v>4</v>
      </c>
      <c r="K45" s="1">
        <v>100</v>
      </c>
      <c r="O45" s="1">
        <v>100</v>
      </c>
    </row>
    <row r="46" spans="2:15" x14ac:dyDescent="0.2">
      <c r="B46" s="1" t="s">
        <v>51</v>
      </c>
      <c r="K46" s="1">
        <v>44.347999999999999</v>
      </c>
      <c r="O46" s="1">
        <v>61.37</v>
      </c>
    </row>
    <row r="47" spans="2:15" s="6" customFormat="1" x14ac:dyDescent="0.2">
      <c r="B47" s="6" t="s">
        <v>57</v>
      </c>
      <c r="K47" s="6">
        <f>+SUM(K40:K46)</f>
        <v>2053.4459999999999</v>
      </c>
      <c r="O47" s="6">
        <f>+SUM(O40:O46)</f>
        <v>2249.6370000000002</v>
      </c>
    </row>
    <row r="48" spans="2:15" x14ac:dyDescent="0.2">
      <c r="B48" s="1" t="s">
        <v>58</v>
      </c>
      <c r="K48" s="1">
        <f>+K39-K47</f>
        <v>905.80699999999979</v>
      </c>
      <c r="O48" s="1">
        <f>+O39-O47</f>
        <v>1373.9729999999995</v>
      </c>
    </row>
    <row r="49" spans="2:15" x14ac:dyDescent="0.2">
      <c r="B49" s="1" t="s">
        <v>59</v>
      </c>
      <c r="K49" s="1">
        <f>+K48+K47</f>
        <v>2959.2529999999997</v>
      </c>
      <c r="O49" s="1">
        <f>+O48+O47</f>
        <v>3623.6099999999997</v>
      </c>
    </row>
    <row r="51" spans="2:15" x14ac:dyDescent="0.2">
      <c r="B51" s="1" t="s">
        <v>42</v>
      </c>
      <c r="K51" s="1">
        <f>+K18</f>
        <v>-67.400999999999968</v>
      </c>
      <c r="O51" s="1">
        <f>+O18</f>
        <v>-19.108000000000047</v>
      </c>
    </row>
    <row r="52" spans="2:15" x14ac:dyDescent="0.2">
      <c r="B52" s="1" t="s">
        <v>60</v>
      </c>
      <c r="K52" s="1">
        <v>-67.400999999999996</v>
      </c>
      <c r="O52" s="1">
        <v>-35.009</v>
      </c>
    </row>
    <row r="53" spans="2:15" x14ac:dyDescent="0.2">
      <c r="B53" s="1" t="s">
        <v>61</v>
      </c>
      <c r="K53" s="1">
        <v>29.69</v>
      </c>
      <c r="O53" s="1">
        <v>33.942999999999998</v>
      </c>
    </row>
    <row r="54" spans="2:15" x14ac:dyDescent="0.2">
      <c r="B54" s="1" t="s">
        <v>62</v>
      </c>
      <c r="K54" s="1">
        <v>77.83</v>
      </c>
      <c r="O54" s="1">
        <v>112.994</v>
      </c>
    </row>
    <row r="55" spans="2:15" x14ac:dyDescent="0.2">
      <c r="B55" s="1" t="s">
        <v>77</v>
      </c>
      <c r="K55" s="1">
        <v>0</v>
      </c>
      <c r="O55" s="1">
        <v>6.375</v>
      </c>
    </row>
    <row r="56" spans="2:15" x14ac:dyDescent="0.2">
      <c r="B56" s="1" t="s">
        <v>51</v>
      </c>
      <c r="K56" s="1">
        <v>-1.804</v>
      </c>
      <c r="O56" s="1">
        <v>2.343</v>
      </c>
    </row>
    <row r="57" spans="2:15" x14ac:dyDescent="0.2">
      <c r="B57" s="1" t="s">
        <v>63</v>
      </c>
      <c r="K57" s="1">
        <f>221.205+0.308-2.331-6.095+11.001-3.993-89.082-6.1+10.019</f>
        <v>134.93200000000004</v>
      </c>
      <c r="O57" s="1">
        <f>238.768+2.406+7.707-9.219+8.122-26.581-116.716-10.587+6.954</f>
        <v>100.854</v>
      </c>
    </row>
    <row r="58" spans="2:15" s="6" customFormat="1" x14ac:dyDescent="0.2">
      <c r="B58" s="6" t="s">
        <v>64</v>
      </c>
      <c r="K58" s="6">
        <f>+SUM(K52:K57)</f>
        <v>173.24700000000004</v>
      </c>
      <c r="O58" s="6">
        <f>+SUM(O52:O57)</f>
        <v>221.5</v>
      </c>
    </row>
    <row r="60" spans="2:15" x14ac:dyDescent="0.2">
      <c r="B60" s="1" t="s">
        <v>65</v>
      </c>
      <c r="K60" s="1">
        <v>-51.423999999999999</v>
      </c>
      <c r="O60" s="1">
        <v>-48.817999999999998</v>
      </c>
    </row>
    <row r="61" spans="2:15" x14ac:dyDescent="0.2">
      <c r="B61" s="1" t="s">
        <v>66</v>
      </c>
      <c r="K61" s="1">
        <f>+-128.788+43.04+288.373</f>
        <v>202.62499999999997</v>
      </c>
      <c r="O61" s="1">
        <f>-165.123+37.689+127.857</f>
        <v>0.42300000000000182</v>
      </c>
    </row>
    <row r="62" spans="2:15" x14ac:dyDescent="0.2">
      <c r="B62" s="1" t="s">
        <v>67</v>
      </c>
      <c r="K62" s="1">
        <f>+K60+K61</f>
        <v>151.20099999999996</v>
      </c>
      <c r="O62" s="1">
        <f>+O60+O61</f>
        <v>-48.394999999999996</v>
      </c>
    </row>
    <row r="64" spans="2:15" x14ac:dyDescent="0.2">
      <c r="B64" s="1" t="s">
        <v>68</v>
      </c>
      <c r="K64" s="1">
        <v>4.63</v>
      </c>
      <c r="O64" s="1">
        <v>13.223000000000001</v>
      </c>
    </row>
    <row r="65" spans="2:15" x14ac:dyDescent="0.2">
      <c r="B65" s="1" t="s">
        <v>69</v>
      </c>
      <c r="K65" s="1">
        <v>21.219000000000001</v>
      </c>
      <c r="O65" s="1">
        <v>25.327999999999999</v>
      </c>
    </row>
    <row r="66" spans="2:15" x14ac:dyDescent="0.2">
      <c r="B66" s="1" t="s">
        <v>70</v>
      </c>
      <c r="K66" s="1">
        <v>-576.78</v>
      </c>
      <c r="O66" s="1">
        <v>-1.099</v>
      </c>
    </row>
    <row r="67" spans="2:15" x14ac:dyDescent="0.2">
      <c r="B67" s="1" t="s">
        <v>71</v>
      </c>
      <c r="K67" s="1">
        <v>100</v>
      </c>
      <c r="O67" s="1">
        <v>0</v>
      </c>
    </row>
    <row r="68" spans="2:15" x14ac:dyDescent="0.2">
      <c r="B68" s="1" t="s">
        <v>72</v>
      </c>
      <c r="K68" s="1">
        <v>-6.7590000000000003</v>
      </c>
      <c r="O68" s="1">
        <v>-12.478</v>
      </c>
    </row>
    <row r="69" spans="2:15" x14ac:dyDescent="0.2">
      <c r="B69" s="1" t="s">
        <v>73</v>
      </c>
      <c r="K69" s="1">
        <v>-69.911000000000001</v>
      </c>
      <c r="O69" s="1">
        <v>0</v>
      </c>
    </row>
    <row r="70" spans="2:15" x14ac:dyDescent="0.2">
      <c r="B70" s="1" t="s">
        <v>74</v>
      </c>
      <c r="K70" s="1">
        <f>+SUM(K64:K69)</f>
        <v>-527.60099999999989</v>
      </c>
      <c r="O70" s="1">
        <f>+SUM(O64:O69)</f>
        <v>24.974000000000004</v>
      </c>
    </row>
    <row r="71" spans="2:15" x14ac:dyDescent="0.2">
      <c r="B71" s="1" t="s">
        <v>75</v>
      </c>
      <c r="K71" s="1">
        <f>+K58+K62+K70</f>
        <v>-203.15299999999991</v>
      </c>
      <c r="O71" s="1">
        <f>+O58+O62+O70</f>
        <v>198.07900000000001</v>
      </c>
    </row>
    <row r="73" spans="2:15" x14ac:dyDescent="0.2">
      <c r="B73" s="1" t="s">
        <v>76</v>
      </c>
      <c r="K73" s="1">
        <f>+K58+K60-K54</f>
        <v>43.993000000000038</v>
      </c>
      <c r="O73" s="1">
        <f>+O58+O60-O54</f>
        <v>59.688000000000017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2024-06-30T08:02:22Z</dcterms:created>
  <dcterms:modified xsi:type="dcterms:W3CDTF">2024-06-30T09:14:00Z</dcterms:modified>
</cp:coreProperties>
</file>