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Cybersecurities\"/>
    </mc:Choice>
  </mc:AlternateContent>
  <xr:revisionPtr revIDLastSave="0" documentId="13_ncr:1_{D3051CBA-5304-4AB1-AF38-5CC36A0BAA4C}" xr6:coauthVersionLast="47" xr6:coauthVersionMax="47" xr10:uidLastSave="{00000000-0000-0000-0000-000000000000}"/>
  <bookViews>
    <workbookView xWindow="-120" yWindow="-120" windowWidth="29040" windowHeight="15840" activeTab="1" xr2:uid="{85A3F5DE-718C-4806-99E4-2AF35D04AD3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4" i="1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W7" i="2"/>
  <c r="U7" i="2"/>
  <c r="V7" i="2" s="1"/>
  <c r="T7" i="2"/>
  <c r="AL32" i="2"/>
  <c r="K83" i="2"/>
  <c r="K71" i="2"/>
  <c r="K70" i="2"/>
  <c r="K66" i="2"/>
  <c r="K59" i="2"/>
  <c r="K49" i="2"/>
  <c r="K46" i="2"/>
  <c r="K41" i="2"/>
  <c r="K35" i="2"/>
  <c r="K34" i="2" s="1"/>
  <c r="K32" i="2"/>
  <c r="K31" i="2"/>
  <c r="K13" i="2"/>
  <c r="K7" i="2"/>
  <c r="K24" i="2" s="1"/>
  <c r="K72" i="2" l="1"/>
  <c r="K67" i="2"/>
  <c r="K87" i="2" s="1"/>
  <c r="K50" i="2"/>
  <c r="K43" i="2"/>
  <c r="K9" i="2"/>
  <c r="K14" i="2" s="1"/>
  <c r="K26" i="2" s="1"/>
  <c r="K85" i="2" l="1"/>
  <c r="K51" i="2"/>
  <c r="K52" i="2" s="1"/>
  <c r="K25" i="2"/>
  <c r="K18" i="2"/>
  <c r="K28" i="2" s="1"/>
  <c r="K20" i="2" l="1"/>
  <c r="K21" i="2" l="1"/>
  <c r="K57" i="2"/>
  <c r="K27" i="2"/>
  <c r="T8" i="2" l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T11" i="2"/>
  <c r="T31" i="2" s="1"/>
  <c r="T12" i="2"/>
  <c r="T32" i="2" s="1"/>
  <c r="T22" i="2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T17" i="2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T16" i="2"/>
  <c r="U16" i="2" s="1"/>
  <c r="V16" i="2" s="1"/>
  <c r="R32" i="2"/>
  <c r="Q32" i="2"/>
  <c r="R31" i="2"/>
  <c r="Q31" i="2"/>
  <c r="S32" i="2"/>
  <c r="S31" i="2"/>
  <c r="I32" i="2"/>
  <c r="H32" i="2"/>
  <c r="G32" i="2"/>
  <c r="I31" i="2"/>
  <c r="H31" i="2"/>
  <c r="G31" i="2"/>
  <c r="J32" i="2"/>
  <c r="J31" i="2"/>
  <c r="T4" i="2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C83" i="2"/>
  <c r="C71" i="2"/>
  <c r="C70" i="2"/>
  <c r="C66" i="2"/>
  <c r="C59" i="2"/>
  <c r="G83" i="2"/>
  <c r="G71" i="2"/>
  <c r="G70" i="2"/>
  <c r="G66" i="2"/>
  <c r="G59" i="2"/>
  <c r="D83" i="2"/>
  <c r="D71" i="2"/>
  <c r="D70" i="2"/>
  <c r="D66" i="2"/>
  <c r="D59" i="2"/>
  <c r="H83" i="2"/>
  <c r="H71" i="2"/>
  <c r="H70" i="2"/>
  <c r="H66" i="2"/>
  <c r="H59" i="2"/>
  <c r="E83" i="2"/>
  <c r="E71" i="2"/>
  <c r="E70" i="2"/>
  <c r="E66" i="2"/>
  <c r="E59" i="2"/>
  <c r="I83" i="2"/>
  <c r="I71" i="2"/>
  <c r="I70" i="2"/>
  <c r="I66" i="2"/>
  <c r="J59" i="2"/>
  <c r="J67" i="2" s="1"/>
  <c r="F59" i="2"/>
  <c r="F67" i="2" s="1"/>
  <c r="I59" i="2"/>
  <c r="E49" i="2"/>
  <c r="E47" i="2"/>
  <c r="E46" i="2"/>
  <c r="E42" i="2"/>
  <c r="E41" i="2"/>
  <c r="E37" i="2"/>
  <c r="E35" i="2"/>
  <c r="E34" i="2" s="1"/>
  <c r="G49" i="2"/>
  <c r="G47" i="2"/>
  <c r="G46" i="2"/>
  <c r="G41" i="2"/>
  <c r="G37" i="2"/>
  <c r="G35" i="2"/>
  <c r="G34" i="2" s="1"/>
  <c r="H49" i="2"/>
  <c r="H47" i="2"/>
  <c r="H46" i="2"/>
  <c r="H41" i="2"/>
  <c r="H37" i="2"/>
  <c r="H35" i="2"/>
  <c r="H34" i="2" s="1"/>
  <c r="I47" i="2"/>
  <c r="I49" i="2"/>
  <c r="I46" i="2"/>
  <c r="I41" i="2"/>
  <c r="I37" i="2"/>
  <c r="F35" i="2"/>
  <c r="F34" i="2" s="1"/>
  <c r="J35" i="2"/>
  <c r="J34" i="2" s="1"/>
  <c r="S34" i="2" s="1"/>
  <c r="I35" i="2"/>
  <c r="I34" i="2" s="1"/>
  <c r="F83" i="2"/>
  <c r="F71" i="2"/>
  <c r="F70" i="2"/>
  <c r="J70" i="2"/>
  <c r="J83" i="2"/>
  <c r="J71" i="2"/>
  <c r="F49" i="2"/>
  <c r="F47" i="2"/>
  <c r="F46" i="2"/>
  <c r="F42" i="2"/>
  <c r="F37" i="2"/>
  <c r="F41" i="2"/>
  <c r="J49" i="2"/>
  <c r="J47" i="2"/>
  <c r="J46" i="2"/>
  <c r="J41" i="2"/>
  <c r="J37" i="2"/>
  <c r="P13" i="2"/>
  <c r="P7" i="2"/>
  <c r="Q13" i="2"/>
  <c r="Q7" i="2"/>
  <c r="R13" i="2"/>
  <c r="R7" i="2"/>
  <c r="S13" i="2"/>
  <c r="S7" i="2"/>
  <c r="S24" i="2" s="1"/>
  <c r="C13" i="2"/>
  <c r="C7" i="2"/>
  <c r="G13" i="2"/>
  <c r="G7" i="2"/>
  <c r="G24" i="2" s="1"/>
  <c r="D13" i="2"/>
  <c r="D7" i="2"/>
  <c r="H13" i="2"/>
  <c r="H7" i="2"/>
  <c r="E13" i="2"/>
  <c r="E7" i="2"/>
  <c r="I13" i="2"/>
  <c r="I7" i="2"/>
  <c r="F13" i="2"/>
  <c r="F7" i="2"/>
  <c r="J13" i="2"/>
  <c r="J7" i="2"/>
  <c r="J24" i="2" s="1"/>
  <c r="L5" i="1"/>
  <c r="L8" i="1" s="1"/>
  <c r="L10" i="1" s="1"/>
  <c r="C9" i="2" l="1"/>
  <c r="C25" i="2" s="1"/>
  <c r="C24" i="2"/>
  <c r="E9" i="2"/>
  <c r="E25" i="2" s="1"/>
  <c r="E24" i="2"/>
  <c r="R9" i="2"/>
  <c r="R24" i="2"/>
  <c r="AL29" i="2"/>
  <c r="T15" i="2"/>
  <c r="I9" i="2"/>
  <c r="I25" i="2" s="1"/>
  <c r="I24" i="2"/>
  <c r="H9" i="2"/>
  <c r="H25" i="2" s="1"/>
  <c r="H24" i="2"/>
  <c r="F9" i="2"/>
  <c r="F25" i="2" s="1"/>
  <c r="F24" i="2"/>
  <c r="D9" i="2"/>
  <c r="D25" i="2" s="1"/>
  <c r="D24" i="2"/>
  <c r="P9" i="2"/>
  <c r="P24" i="2"/>
  <c r="Q9" i="2"/>
  <c r="Q24" i="2"/>
  <c r="I72" i="2"/>
  <c r="S9" i="2"/>
  <c r="S25" i="2" s="1"/>
  <c r="G72" i="2"/>
  <c r="C67" i="2"/>
  <c r="C87" i="2" s="1"/>
  <c r="F89" i="2" s="1"/>
  <c r="U11" i="2"/>
  <c r="D67" i="2"/>
  <c r="D87" i="2" s="1"/>
  <c r="U12" i="2"/>
  <c r="E72" i="2"/>
  <c r="G67" i="2"/>
  <c r="G9" i="2"/>
  <c r="G25" i="2" s="1"/>
  <c r="K30" i="2"/>
  <c r="W16" i="2"/>
  <c r="H67" i="2"/>
  <c r="D72" i="2"/>
  <c r="G43" i="2"/>
  <c r="G51" i="2" s="1"/>
  <c r="G52" i="2" s="1"/>
  <c r="I67" i="2"/>
  <c r="I87" i="2" s="1"/>
  <c r="C72" i="2"/>
  <c r="H72" i="2"/>
  <c r="E67" i="2"/>
  <c r="E87" i="2" s="1"/>
  <c r="E50" i="2"/>
  <c r="I43" i="2"/>
  <c r="F72" i="2"/>
  <c r="F85" i="2" s="1"/>
  <c r="I50" i="2"/>
  <c r="G50" i="2"/>
  <c r="E43" i="2"/>
  <c r="H50" i="2"/>
  <c r="H43" i="2"/>
  <c r="J50" i="2"/>
  <c r="J72" i="2"/>
  <c r="J85" i="2" s="1"/>
  <c r="F87" i="2"/>
  <c r="J87" i="2"/>
  <c r="F50" i="2"/>
  <c r="J43" i="2"/>
  <c r="F43" i="2"/>
  <c r="J30" i="2"/>
  <c r="J9" i="2"/>
  <c r="J25" i="2" s="1"/>
  <c r="I14" i="2"/>
  <c r="R30" i="2"/>
  <c r="G30" i="2"/>
  <c r="I30" i="2"/>
  <c r="H30" i="2"/>
  <c r="S30" i="2"/>
  <c r="Q30" i="2"/>
  <c r="P25" i="2"/>
  <c r="P14" i="2"/>
  <c r="Q14" i="2"/>
  <c r="Q25" i="2"/>
  <c r="R25" i="2"/>
  <c r="R14" i="2"/>
  <c r="R18" i="2" s="1"/>
  <c r="D14" i="2"/>
  <c r="E14" i="2"/>
  <c r="U30" i="2" l="1"/>
  <c r="T10" i="2"/>
  <c r="T13" i="2" s="1"/>
  <c r="F14" i="2"/>
  <c r="F18" i="2" s="1"/>
  <c r="H14" i="2"/>
  <c r="C85" i="2"/>
  <c r="C14" i="2"/>
  <c r="C26" i="2" s="1"/>
  <c r="T30" i="2"/>
  <c r="S14" i="2"/>
  <c r="S18" i="2" s="1"/>
  <c r="G85" i="2"/>
  <c r="E85" i="2"/>
  <c r="G14" i="2"/>
  <c r="G18" i="2" s="1"/>
  <c r="E51" i="2"/>
  <c r="E52" i="2" s="1"/>
  <c r="D85" i="2"/>
  <c r="V11" i="2"/>
  <c r="U31" i="2"/>
  <c r="H87" i="2"/>
  <c r="K89" i="2" s="1"/>
  <c r="G87" i="2"/>
  <c r="J89" i="2" s="1"/>
  <c r="V12" i="2"/>
  <c r="U32" i="2"/>
  <c r="X16" i="2"/>
  <c r="H85" i="2"/>
  <c r="F51" i="2"/>
  <c r="F52" i="2" s="1"/>
  <c r="I51" i="2"/>
  <c r="I52" i="2" s="1"/>
  <c r="I85" i="2"/>
  <c r="T9" i="2"/>
  <c r="J51" i="2"/>
  <c r="J52" i="2" s="1"/>
  <c r="H51" i="2"/>
  <c r="H52" i="2" s="1"/>
  <c r="J14" i="2"/>
  <c r="I18" i="2"/>
  <c r="I26" i="2"/>
  <c r="C18" i="2"/>
  <c r="F26" i="2"/>
  <c r="E18" i="2"/>
  <c r="E26" i="2"/>
  <c r="H18" i="2"/>
  <c r="H26" i="2"/>
  <c r="D18" i="2"/>
  <c r="D26" i="2"/>
  <c r="P18" i="2"/>
  <c r="P26" i="2"/>
  <c r="Q26" i="2"/>
  <c r="Q18" i="2"/>
  <c r="R26" i="2"/>
  <c r="H89" i="2" l="1"/>
  <c r="I89" i="2"/>
  <c r="G89" i="2"/>
  <c r="V30" i="2"/>
  <c r="U10" i="2"/>
  <c r="U13" i="2" s="1"/>
  <c r="G26" i="2"/>
  <c r="S26" i="2"/>
  <c r="W11" i="2"/>
  <c r="V31" i="2"/>
  <c r="W12" i="2"/>
  <c r="V32" i="2"/>
  <c r="T14" i="2"/>
  <c r="T25" i="2"/>
  <c r="Y16" i="2"/>
  <c r="U9" i="2"/>
  <c r="J18" i="2"/>
  <c r="J26" i="2"/>
  <c r="I20" i="2"/>
  <c r="I57" i="2" s="1"/>
  <c r="I28" i="2"/>
  <c r="E20" i="2"/>
  <c r="E28" i="2"/>
  <c r="F20" i="2"/>
  <c r="F28" i="2"/>
  <c r="S20" i="2"/>
  <c r="S28" i="2"/>
  <c r="G20" i="2"/>
  <c r="G28" i="2"/>
  <c r="H20" i="2"/>
  <c r="H28" i="2"/>
  <c r="D20" i="2"/>
  <c r="D28" i="2"/>
  <c r="C20" i="2"/>
  <c r="C28" i="2"/>
  <c r="P28" i="2"/>
  <c r="P20" i="2"/>
  <c r="Q28" i="2"/>
  <c r="Q20" i="2"/>
  <c r="R20" i="2"/>
  <c r="R28" i="2"/>
  <c r="V10" i="2" l="1"/>
  <c r="V13" i="2" s="1"/>
  <c r="G57" i="2"/>
  <c r="F57" i="2"/>
  <c r="I54" i="2"/>
  <c r="I55" i="2" s="1"/>
  <c r="C57" i="2"/>
  <c r="F54" i="2"/>
  <c r="F55" i="2" s="1"/>
  <c r="E57" i="2"/>
  <c r="H54" i="2"/>
  <c r="H55" i="2" s="1"/>
  <c r="D57" i="2"/>
  <c r="G54" i="2"/>
  <c r="G55" i="2" s="1"/>
  <c r="H57" i="2"/>
  <c r="X11" i="2"/>
  <c r="W31" i="2"/>
  <c r="U14" i="2"/>
  <c r="U25" i="2"/>
  <c r="T18" i="2"/>
  <c r="T26" i="2"/>
  <c r="X12" i="2"/>
  <c r="W32" i="2"/>
  <c r="Z16" i="2"/>
  <c r="W30" i="2"/>
  <c r="V9" i="2"/>
  <c r="J28" i="2"/>
  <c r="J20" i="2"/>
  <c r="J57" i="2" s="1"/>
  <c r="I21" i="2"/>
  <c r="I27" i="2"/>
  <c r="S21" i="2"/>
  <c r="S27" i="2"/>
  <c r="G21" i="2"/>
  <c r="G27" i="2"/>
  <c r="C21" i="2"/>
  <c r="C27" i="2"/>
  <c r="F21" i="2"/>
  <c r="F27" i="2"/>
  <c r="H21" i="2"/>
  <c r="H27" i="2"/>
  <c r="D21" i="2"/>
  <c r="D27" i="2"/>
  <c r="E21" i="2"/>
  <c r="E27" i="2"/>
  <c r="P27" i="2"/>
  <c r="P21" i="2"/>
  <c r="Q27" i="2"/>
  <c r="Q21" i="2"/>
  <c r="R21" i="2"/>
  <c r="R27" i="2"/>
  <c r="K54" i="2" l="1"/>
  <c r="K55" i="2" s="1"/>
  <c r="X7" i="2"/>
  <c r="X30" i="2" s="1"/>
  <c r="W10" i="2"/>
  <c r="W13" i="2" s="1"/>
  <c r="J54" i="2"/>
  <c r="J55" i="2" s="1"/>
  <c r="Y11" i="2"/>
  <c r="X31" i="2"/>
  <c r="Y12" i="2"/>
  <c r="X32" i="2"/>
  <c r="T20" i="2"/>
  <c r="T28" i="2"/>
  <c r="V14" i="2"/>
  <c r="V25" i="2"/>
  <c r="U26" i="2"/>
  <c r="AA16" i="2"/>
  <c r="W9" i="2"/>
  <c r="J21" i="2"/>
  <c r="J27" i="2"/>
  <c r="Y7" i="2" l="1"/>
  <c r="Y30" i="2" s="1"/>
  <c r="X10" i="2"/>
  <c r="X13" i="2" s="1"/>
  <c r="Z11" i="2"/>
  <c r="Y31" i="2"/>
  <c r="V26" i="2"/>
  <c r="T27" i="2"/>
  <c r="T21" i="2"/>
  <c r="T34" i="2"/>
  <c r="W14" i="2"/>
  <c r="W25" i="2"/>
  <c r="Z12" i="2"/>
  <c r="Y32" i="2"/>
  <c r="AB16" i="2"/>
  <c r="X9" i="2"/>
  <c r="U15" i="2" l="1"/>
  <c r="U18" i="2" s="1"/>
  <c r="Z7" i="2"/>
  <c r="Z30" i="2" s="1"/>
  <c r="Y10" i="2"/>
  <c r="Y13" i="2" s="1"/>
  <c r="AA11" i="2"/>
  <c r="Z31" i="2"/>
  <c r="AA12" i="2"/>
  <c r="Z32" i="2"/>
  <c r="W26" i="2"/>
  <c r="X14" i="2"/>
  <c r="X25" i="2"/>
  <c r="AC16" i="2"/>
  <c r="Y9" i="2"/>
  <c r="U20" i="2" l="1"/>
  <c r="U28" i="2"/>
  <c r="AA7" i="2"/>
  <c r="AA30" i="2" s="1"/>
  <c r="Z10" i="2"/>
  <c r="Z13" i="2" s="1"/>
  <c r="AB11" i="2"/>
  <c r="AA31" i="2"/>
  <c r="X26" i="2"/>
  <c r="Y14" i="2"/>
  <c r="Y25" i="2"/>
  <c r="AB12" i="2"/>
  <c r="AA32" i="2"/>
  <c r="AD16" i="2"/>
  <c r="Z9" i="2"/>
  <c r="AB7" i="2" l="1"/>
  <c r="AB30" i="2" s="1"/>
  <c r="AA10" i="2"/>
  <c r="AA13" i="2" s="1"/>
  <c r="U34" i="2"/>
  <c r="V15" i="2" s="1"/>
  <c r="V18" i="2" s="1"/>
  <c r="U21" i="2"/>
  <c r="U27" i="2"/>
  <c r="AC11" i="2"/>
  <c r="AB31" i="2"/>
  <c r="Z14" i="2"/>
  <c r="Z26" i="2" s="1"/>
  <c r="Z25" i="2"/>
  <c r="AC12" i="2"/>
  <c r="AB32" i="2"/>
  <c r="Y26" i="2"/>
  <c r="AE16" i="2"/>
  <c r="AA9" i="2"/>
  <c r="V20" i="2" l="1"/>
  <c r="V28" i="2"/>
  <c r="AC7" i="2"/>
  <c r="AB10" i="2"/>
  <c r="AB13" i="2" s="1"/>
  <c r="AD11" i="2"/>
  <c r="AC31" i="2"/>
  <c r="AD12" i="2"/>
  <c r="AC32" i="2"/>
  <c r="AA14" i="2"/>
  <c r="AA26" i="2" s="1"/>
  <c r="AA25" i="2"/>
  <c r="AF16" i="2"/>
  <c r="AC30" i="2"/>
  <c r="AB9" i="2"/>
  <c r="AD7" i="2" l="1"/>
  <c r="AE7" i="2" s="1"/>
  <c r="AF7" i="2" s="1"/>
  <c r="AG7" i="2" s="1"/>
  <c r="AH7" i="2" s="1"/>
  <c r="AI7" i="2" s="1"/>
  <c r="AC10" i="2"/>
  <c r="AC13" i="2" s="1"/>
  <c r="V34" i="2"/>
  <c r="W15" i="2" s="1"/>
  <c r="W18" i="2" s="1"/>
  <c r="V27" i="2"/>
  <c r="V21" i="2"/>
  <c r="AE11" i="2"/>
  <c r="AD31" i="2"/>
  <c r="AB14" i="2"/>
  <c r="AB26" i="2" s="1"/>
  <c r="AB25" i="2"/>
  <c r="AE12" i="2"/>
  <c r="AD32" i="2"/>
  <c r="AG16" i="2"/>
  <c r="AC9" i="2"/>
  <c r="AD30" i="2" l="1"/>
  <c r="W20" i="2"/>
  <c r="W28" i="2"/>
  <c r="AD10" i="2"/>
  <c r="AD13" i="2" s="1"/>
  <c r="AF11" i="2"/>
  <c r="AE31" i="2"/>
  <c r="AF12" i="2"/>
  <c r="AE32" i="2"/>
  <c r="AC14" i="2"/>
  <c r="AC26" i="2" s="1"/>
  <c r="AC25" i="2"/>
  <c r="AH16" i="2"/>
  <c r="AD9" i="2"/>
  <c r="AF30" i="2" l="1"/>
  <c r="AE10" i="2"/>
  <c r="AE13" i="2" s="1"/>
  <c r="AE30" i="2"/>
  <c r="W21" i="2"/>
  <c r="W27" i="2"/>
  <c r="W34" i="2"/>
  <c r="X15" i="2" s="1"/>
  <c r="X18" i="2" s="1"/>
  <c r="AG11" i="2"/>
  <c r="AF31" i="2"/>
  <c r="AD14" i="2"/>
  <c r="AD26" i="2" s="1"/>
  <c r="AD25" i="2"/>
  <c r="AG12" i="2"/>
  <c r="AF32" i="2"/>
  <c r="AI16" i="2"/>
  <c r="AE9" i="2"/>
  <c r="X19" i="2" l="1"/>
  <c r="X28" i="2" s="1"/>
  <c r="X20" i="2"/>
  <c r="AF10" i="2"/>
  <c r="AF13" i="2" s="1"/>
  <c r="AH11" i="2"/>
  <c r="AG31" i="2"/>
  <c r="AH12" i="2"/>
  <c r="AG32" i="2"/>
  <c r="AE14" i="2"/>
  <c r="AE26" i="2" s="1"/>
  <c r="AE25" i="2"/>
  <c r="AF9" i="2"/>
  <c r="AG10" i="2" l="1"/>
  <c r="AG13" i="2" s="1"/>
  <c r="X27" i="2"/>
  <c r="X21" i="2"/>
  <c r="X34" i="2"/>
  <c r="Y15" i="2" s="1"/>
  <c r="Y18" i="2" s="1"/>
  <c r="AG30" i="2"/>
  <c r="AI11" i="2"/>
  <c r="AH31" i="2"/>
  <c r="AF14" i="2"/>
  <c r="AF26" i="2" s="1"/>
  <c r="AF25" i="2"/>
  <c r="AI12" i="2"/>
  <c r="AH32" i="2"/>
  <c r="AH30" i="2"/>
  <c r="AG9" i="2"/>
  <c r="Y19" i="2" l="1"/>
  <c r="Y28" i="2" s="1"/>
  <c r="AI10" i="2"/>
  <c r="AH10" i="2"/>
  <c r="AH13" i="2" s="1"/>
  <c r="AI31" i="2"/>
  <c r="AG14" i="2"/>
  <c r="AG26" i="2" s="1"/>
  <c r="AG25" i="2"/>
  <c r="AI32" i="2"/>
  <c r="AI13" i="2"/>
  <c r="AI30" i="2"/>
  <c r="AH9" i="2"/>
  <c r="Y20" i="2" l="1"/>
  <c r="Y21" i="2"/>
  <c r="Y34" i="2"/>
  <c r="Z15" i="2" s="1"/>
  <c r="Z18" i="2" s="1"/>
  <c r="Y27" i="2"/>
  <c r="AH14" i="2"/>
  <c r="AH26" i="2" s="1"/>
  <c r="AH25" i="2"/>
  <c r="AI9" i="2"/>
  <c r="Z19" i="2" l="1"/>
  <c r="Z28" i="2" s="1"/>
  <c r="Z20" i="2"/>
  <c r="AI14" i="2"/>
  <c r="AI26" i="2" s="1"/>
  <c r="AI25" i="2"/>
  <c r="Z21" i="2" l="1"/>
  <c r="Z27" i="2"/>
  <c r="Z34" i="2"/>
  <c r="AA15" i="2" s="1"/>
  <c r="AA18" i="2" s="1"/>
  <c r="AA19" i="2" l="1"/>
  <c r="AA28" i="2" s="1"/>
  <c r="AA20" i="2" l="1"/>
  <c r="AA27" i="2"/>
  <c r="AA34" i="2"/>
  <c r="AB15" i="2" s="1"/>
  <c r="AB18" i="2" s="1"/>
  <c r="AA21" i="2"/>
  <c r="AB19" i="2" l="1"/>
  <c r="AB28" i="2" s="1"/>
  <c r="AB20" i="2"/>
  <c r="AB34" i="2" l="1"/>
  <c r="AC15" i="2" s="1"/>
  <c r="AC18" i="2" s="1"/>
  <c r="AC19" i="2" s="1"/>
  <c r="AC28" i="2" s="1"/>
  <c r="AB27" i="2"/>
  <c r="AB21" i="2"/>
  <c r="AC20" i="2" l="1"/>
  <c r="AC34" i="2" s="1"/>
  <c r="AD15" i="2" s="1"/>
  <c r="AD18" i="2" s="1"/>
  <c r="AC27" i="2" l="1"/>
  <c r="AC21" i="2"/>
  <c r="AD19" i="2"/>
  <c r="AD28" i="2" s="1"/>
  <c r="AD20" i="2" l="1"/>
  <c r="AD21" i="2" l="1"/>
  <c r="AD34" i="2"/>
  <c r="AD27" i="2"/>
  <c r="AE15" i="2" l="1"/>
  <c r="AE18" i="2" s="1"/>
  <c r="AE19" i="2" l="1"/>
  <c r="AE28" i="2" s="1"/>
  <c r="AE20" i="2" l="1"/>
  <c r="AE27" i="2" s="1"/>
  <c r="AE21" i="2" l="1"/>
  <c r="AE34" i="2"/>
  <c r="AF15" i="2" s="1"/>
  <c r="AF18" i="2" s="1"/>
  <c r="AF19" i="2" l="1"/>
  <c r="AF28" i="2" s="1"/>
  <c r="AF20" i="2" l="1"/>
  <c r="AF34" i="2"/>
  <c r="AG15" i="2" s="1"/>
  <c r="AG18" i="2" s="1"/>
  <c r="AF27" i="2"/>
  <c r="AF21" i="2"/>
  <c r="AG19" i="2" l="1"/>
  <c r="AG28" i="2" s="1"/>
  <c r="AG20" i="2"/>
  <c r="AG21" i="2" l="1"/>
  <c r="AG27" i="2"/>
  <c r="AG34" i="2"/>
  <c r="AH15" i="2" l="1"/>
  <c r="AH18" i="2" s="1"/>
  <c r="AH19" i="2" l="1"/>
  <c r="AH28" i="2" s="1"/>
  <c r="AH20" i="2" l="1"/>
  <c r="AH27" i="2" s="1"/>
  <c r="AH21" i="2" l="1"/>
  <c r="AH34" i="2"/>
  <c r="AI15" i="2"/>
  <c r="AI18" i="2" s="1"/>
  <c r="AI19" i="2" l="1"/>
  <c r="AI28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AL28" i="2" s="1"/>
  <c r="AI27" i="2" l="1"/>
  <c r="AI21" i="2"/>
  <c r="AI34" i="2"/>
  <c r="AL30" i="2" l="1"/>
  <c r="AL31" i="2" s="1"/>
  <c r="AL33" i="2" s="1"/>
</calcChain>
</file>

<file path=xl/sharedStrings.xml><?xml version="1.0" encoding="utf-8"?>
<sst xmlns="http://schemas.openxmlformats.org/spreadsheetml/2006/main" count="109" uniqueCount="97">
  <si>
    <t>Rapid7</t>
  </si>
  <si>
    <t>Price</t>
  </si>
  <si>
    <t>Shares</t>
  </si>
  <si>
    <t>MC</t>
  </si>
  <si>
    <t>Cash</t>
  </si>
  <si>
    <t>Debt</t>
  </si>
  <si>
    <t>EV</t>
  </si>
  <si>
    <t>(RPD)</t>
  </si>
  <si>
    <t>(in millions)</t>
  </si>
  <si>
    <t>Products</t>
  </si>
  <si>
    <t>Services</t>
  </si>
  <si>
    <t>Revenue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</si>
  <si>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</si>
  <si>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</si>
  <si>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</si>
  <si>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</si>
  <si>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</si>
  <si>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</si>
  <si>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</si>
  <si>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Interest income</t>
  </si>
  <si>
    <t>Interest expense</t>
  </si>
  <si>
    <t>Other</t>
  </si>
  <si>
    <t>Pretax</t>
  </si>
  <si>
    <t>Taxes</t>
  </si>
  <si>
    <t>Net income</t>
  </si>
  <si>
    <t>EPS</t>
  </si>
  <si>
    <t>Q323</t>
  </si>
  <si>
    <t>Q223</t>
  </si>
  <si>
    <t>Q123</t>
  </si>
  <si>
    <t>Q422</t>
  </si>
  <si>
    <t>Q423</t>
  </si>
  <si>
    <t>Q322</t>
  </si>
  <si>
    <t>Q222</t>
  </si>
  <si>
    <t>Q122</t>
  </si>
  <si>
    <t>Q124</t>
  </si>
  <si>
    <t>Q224</t>
  </si>
  <si>
    <t>Q324</t>
  </si>
  <si>
    <t>Q424</t>
  </si>
  <si>
    <t>Gross margin</t>
  </si>
  <si>
    <t>Operation margin</t>
  </si>
  <si>
    <t>Net margin</t>
  </si>
  <si>
    <t>Taxe rate</t>
  </si>
  <si>
    <t>Revenue y/y</t>
  </si>
  <si>
    <t>Net cash</t>
  </si>
  <si>
    <t>A/R</t>
  </si>
  <si>
    <t>DAC</t>
  </si>
  <si>
    <t>Prepaid</t>
  </si>
  <si>
    <t>Investments</t>
  </si>
  <si>
    <t>PP&amp;E</t>
  </si>
  <si>
    <t>Goodwill</t>
  </si>
  <si>
    <t>Total assets</t>
  </si>
  <si>
    <t>A/P</t>
  </si>
  <si>
    <t>Accrued expense</t>
  </si>
  <si>
    <t>Lease</t>
  </si>
  <si>
    <t>D/R</t>
  </si>
  <si>
    <t>Total liabilities</t>
  </si>
  <si>
    <t>S/E</t>
  </si>
  <si>
    <t>L+S/E</t>
  </si>
  <si>
    <t>Model IN</t>
  </si>
  <si>
    <t>Reported IN</t>
  </si>
  <si>
    <t>D&amp;A</t>
  </si>
  <si>
    <t>SBC</t>
  </si>
  <si>
    <t>DT</t>
  </si>
  <si>
    <t>Impairment</t>
  </si>
  <si>
    <t>OA</t>
  </si>
  <si>
    <t>CFFO</t>
  </si>
  <si>
    <t>Acquisition</t>
  </si>
  <si>
    <t>CapEx</t>
  </si>
  <si>
    <t>CFFI</t>
  </si>
  <si>
    <t>Purchase notes</t>
  </si>
  <si>
    <t>Repurchase notes</t>
  </si>
  <si>
    <t>Settlement</t>
  </si>
  <si>
    <t>CFFF</t>
  </si>
  <si>
    <t>FX</t>
  </si>
  <si>
    <t>CIC</t>
  </si>
  <si>
    <t>CFFO+CapEx-SBC</t>
  </si>
  <si>
    <t>Debt costs</t>
  </si>
  <si>
    <t>Taxes equity awards</t>
  </si>
  <si>
    <t>Stock Options</t>
  </si>
  <si>
    <t>Working capital</t>
  </si>
  <si>
    <t>Derivative assets</t>
  </si>
  <si>
    <t>Conversion expense</t>
  </si>
  <si>
    <t>S&amp;M y/y</t>
  </si>
  <si>
    <t xml:space="preserve">G&amp;A y/y </t>
  </si>
  <si>
    <t>ROIC</t>
  </si>
  <si>
    <t>Discount rate</t>
  </si>
  <si>
    <t>Maturity value</t>
  </si>
  <si>
    <t>NPV</t>
  </si>
  <si>
    <t>Total value</t>
  </si>
  <si>
    <t>Per share</t>
  </si>
  <si>
    <t>Current price</t>
  </si>
  <si>
    <t>Cash flow TTM</t>
  </si>
  <si>
    <t>Issuance of debt</t>
  </si>
  <si>
    <t>ESOP</t>
  </si>
  <si>
    <t>R&amp;D margin</t>
  </si>
  <si>
    <t>Upside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</si>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</sst>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3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57150</xdr:rowOff>
    </xdr:from>
    <xdr:to>
      <xdr:col>11</xdr:col>
      <xdr:colOff>28575</xdr:colOff>
      <xdr:row>89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F085577-29D1-63CA-7788-AA5E50F3A400}"/>
            </a:ext>
          </a:extLst>
        </xdr:cNvPr>
        <xdr:cNvCxnSpPr/>
      </xdr:nvCxnSpPr>
      <xdr:spPr>
        <a:xfrm>
          <a:off x="7543800" y="57150"/>
          <a:ext cx="0" cy="14630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0</xdr:row>
      <xdr:rowOff>0</xdr:rowOff>
    </xdr:from>
    <xdr:to>
      <xdr:col>19</xdr:col>
      <xdr:colOff>38100</xdr:colOff>
      <xdr:row>75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3F9E6D0-7275-47E9-A857-24D864F26A07}"/>
            </a:ext>
          </a:extLst>
        </xdr:cNvPr>
        <xdr:cNvCxnSpPr/>
      </xdr:nvCxnSpPr>
      <xdr:spPr>
        <a:xfrm>
          <a:off x="12411075" y="0"/>
          <a:ext cx="19050" cy="12687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2FDA-1339-4AA5-BD73-AC1F5A8FDB8F}">
  <dimension ref="B2:M10"/>
  <sheetViews>
    <sheetView workbookViewId="0">
      <selection activeCell="M7" sqref="M7"/>
    </sheetView>
  </sheetViews>
  <sheetFormatPr defaultRowHeight="12.75" x14ac:dyDescent="0.2"/>
  <cols>
    <col min="1" max="1" width="2.85546875" customWidth="1"/>
    <col min="2" max="2" width="19.140625" bestFit="1" customWidth="1"/>
  </cols>
  <sheetData>
    <row r="2" spans="2:13" ht="34.5" x14ac:dyDescent="0.45">
      <c r="B2" s="1" t="s">
        <v>0</v>
      </c>
    </row>
    <row r="3" spans="2:13" x14ac:dyDescent="0.2">
      <c r="K3" t="s">
        <v>1</v>
      </c>
      <c r="L3">
        <v>39</v>
      </c>
    </row>
    <row r="4" spans="2:13" x14ac:dyDescent="0.2">
      <c r="K4" t="s">
        <v>2</v>
      </c>
      <c r="L4" s="2">
        <f>+Model!K22</f>
        <v>74.021704</v>
      </c>
      <c r="M4" s="17" t="s">
        <v>34</v>
      </c>
    </row>
    <row r="5" spans="2:13" x14ac:dyDescent="0.2">
      <c r="K5" t="s">
        <v>3</v>
      </c>
      <c r="L5" s="2">
        <f>+L4*L3</f>
        <v>2886.8464560000002</v>
      </c>
      <c r="M5" s="17"/>
    </row>
    <row r="6" spans="2:13" x14ac:dyDescent="0.2">
      <c r="K6" t="s">
        <v>4</v>
      </c>
      <c r="L6" s="2">
        <f>+Model!K35</f>
        <v>464.17099999999999</v>
      </c>
      <c r="M6" s="17" t="s">
        <v>34</v>
      </c>
    </row>
    <row r="7" spans="2:13" x14ac:dyDescent="0.2">
      <c r="K7" t="s">
        <v>5</v>
      </c>
      <c r="L7" s="2">
        <f>+Model!K48</f>
        <v>931.00099999999998</v>
      </c>
      <c r="M7" s="17" t="s">
        <v>34</v>
      </c>
    </row>
    <row r="8" spans="2:13" x14ac:dyDescent="0.2">
      <c r="K8" t="s">
        <v>6</v>
      </c>
      <c r="L8" s="2">
        <f>+L5-L6+L7</f>
        <v>3353.6764560000001</v>
      </c>
    </row>
    <row r="9" spans="2:13" x14ac:dyDescent="0.2">
      <c r="L9">
        <v>546</v>
      </c>
    </row>
    <row r="10" spans="2:13" x14ac:dyDescent="0.2">
      <c r="L10" s="13">
        <f>+L8/L9</f>
        <v>6.142264571428572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BD24-0C35-4591-BA3B-B3E77247031E}">
  <dimension ref="B2:EF89"/>
  <sheetViews>
    <sheetView tabSelected="1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L24" sqref="L24:M24"/>
    </sheetView>
  </sheetViews>
  <sheetFormatPr defaultRowHeight="12.75" x14ac:dyDescent="0.2"/>
  <cols>
    <col min="1" max="1" width="3.28515625" customWidth="1"/>
    <col min="2" max="2" width="19.140625" bestFit="1" customWidth="1"/>
    <col min="3" max="10" width="10.140625" style="6" bestFit="1" customWidth="1"/>
    <col min="20" max="35" width="9.140625" style="2"/>
    <col min="37" max="37" width="12.42578125" bestFit="1" customWidth="1"/>
  </cols>
  <sheetData>
    <row r="2" spans="2:35" ht="34.5" x14ac:dyDescent="0.45">
      <c r="B2" s="1" t="s">
        <v>0</v>
      </c>
    </row>
    <row r="3" spans="2:35" s="3" customFormat="1" x14ac:dyDescent="0.2">
      <c r="B3" t="s">
        <v>7</v>
      </c>
      <c r="C3" s="4">
        <v>44651</v>
      </c>
      <c r="D3" s="4">
        <v>44772</v>
      </c>
      <c r="E3" s="4">
        <v>45199</v>
      </c>
      <c r="F3" s="4">
        <v>44926</v>
      </c>
      <c r="G3" s="4">
        <v>45016</v>
      </c>
      <c r="H3" s="4">
        <v>45137</v>
      </c>
      <c r="I3" s="4">
        <v>45199</v>
      </c>
      <c r="J3" s="4">
        <v>45291</v>
      </c>
      <c r="K3" s="3">
        <v>45382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2:35" x14ac:dyDescent="0.2">
      <c r="B4" t="s">
        <v>8</v>
      </c>
      <c r="C4" s="6" t="s">
        <v>33</v>
      </c>
      <c r="D4" s="6" t="s">
        <v>32</v>
      </c>
      <c r="E4" s="6" t="s">
        <v>31</v>
      </c>
      <c r="F4" s="6" t="s">
        <v>29</v>
      </c>
      <c r="G4" s="6" t="s">
        <v>28</v>
      </c>
      <c r="H4" s="6" t="s">
        <v>27</v>
      </c>
      <c r="I4" s="6" t="s">
        <v>26</v>
      </c>
      <c r="J4" s="6" t="s">
        <v>30</v>
      </c>
      <c r="K4" s="6" t="s">
        <v>34</v>
      </c>
      <c r="L4" s="6" t="s">
        <v>35</v>
      </c>
      <c r="M4" s="6" t="s">
        <v>36</v>
      </c>
      <c r="N4" s="6" t="s">
        <v>37</v>
      </c>
      <c r="P4">
        <v>2020</v>
      </c>
      <c r="Q4">
        <v>2021</v>
      </c>
      <c r="R4">
        <v>2022</v>
      </c>
      <c r="S4">
        <v>2023</v>
      </c>
      <c r="T4">
        <f>+S4+1</f>
        <v>2024</v>
      </c>
      <c r="U4">
        <f t="shared" ref="U4:AI4" si="0">+T4+1</f>
        <v>2025</v>
      </c>
      <c r="V4">
        <f t="shared" si="0"/>
        <v>2026</v>
      </c>
      <c r="W4">
        <f t="shared" si="0"/>
        <v>2027</v>
      </c>
      <c r="X4">
        <f t="shared" si="0"/>
        <v>2028</v>
      </c>
      <c r="Y4">
        <f t="shared" si="0"/>
        <v>2029</v>
      </c>
      <c r="Z4">
        <f t="shared" si="0"/>
        <v>2030</v>
      </c>
      <c r="AA4">
        <f t="shared" si="0"/>
        <v>2031</v>
      </c>
      <c r="AB4">
        <f t="shared" si="0"/>
        <v>2032</v>
      </c>
      <c r="AC4">
        <f t="shared" si="0"/>
        <v>2033</v>
      </c>
      <c r="AD4">
        <f t="shared" si="0"/>
        <v>2034</v>
      </c>
      <c r="AE4">
        <f t="shared" si="0"/>
        <v>2035</v>
      </c>
      <c r="AF4">
        <f t="shared" si="0"/>
        <v>2036</v>
      </c>
      <c r="AG4">
        <f t="shared" si="0"/>
        <v>2037</v>
      </c>
      <c r="AH4">
        <f t="shared" si="0"/>
        <v>2038</v>
      </c>
      <c r="AI4">
        <f t="shared" si="0"/>
        <v>2039</v>
      </c>
    </row>
    <row r="5" spans="2:35" x14ac:dyDescent="0.2">
      <c r="B5" t="s">
        <v>9</v>
      </c>
      <c r="C5" s="6">
        <v>149.02500000000001</v>
      </c>
      <c r="D5" s="6">
        <v>159.12200000000001</v>
      </c>
      <c r="E5" s="6">
        <v>166.49600000000001</v>
      </c>
      <c r="F5" s="6">
        <v>172.892</v>
      </c>
      <c r="G5" s="6">
        <v>173.77199999999999</v>
      </c>
      <c r="H5" s="6">
        <v>181.70099999999999</v>
      </c>
      <c r="I5" s="6">
        <v>189.876</v>
      </c>
      <c r="J5" s="6">
        <v>194.81899999999999</v>
      </c>
      <c r="K5" s="6">
        <v>196.91800000000001</v>
      </c>
      <c r="P5" s="2">
        <v>382.92200000000003</v>
      </c>
      <c r="Q5" s="2">
        <v>500.84300000000002</v>
      </c>
      <c r="R5" s="2">
        <v>647.53499999999997</v>
      </c>
      <c r="S5" s="6">
        <v>740.16800000000001</v>
      </c>
    </row>
    <row r="6" spans="2:35" x14ac:dyDescent="0.2">
      <c r="B6" t="s">
        <v>10</v>
      </c>
      <c r="C6" s="6">
        <v>8.359</v>
      </c>
      <c r="D6" s="6">
        <v>8.3330000000000002</v>
      </c>
      <c r="E6" s="6">
        <v>9.2690000000000001</v>
      </c>
      <c r="F6" s="6">
        <v>11.587</v>
      </c>
      <c r="G6" s="6">
        <v>9.4019999999999992</v>
      </c>
      <c r="H6" s="6">
        <v>8.7210000000000001</v>
      </c>
      <c r="I6" s="6">
        <v>8.9670000000000005</v>
      </c>
      <c r="J6" s="6">
        <v>10.449</v>
      </c>
      <c r="K6" s="6">
        <v>8.1829999999999998</v>
      </c>
      <c r="P6" s="2">
        <v>28.564</v>
      </c>
      <c r="Q6" s="2">
        <v>34.561</v>
      </c>
      <c r="R6" s="2">
        <v>37.548000000000002</v>
      </c>
      <c r="S6" s="6">
        <v>37.539000000000001</v>
      </c>
    </row>
    <row r="7" spans="2:35" s="8" customFormat="1" x14ac:dyDescent="0.2">
      <c r="B7" s="8" t="s">
        <v>11</v>
      </c>
      <c r="C7" s="9">
        <f t="shared" ref="C7:J7" si="1">+C5+C6</f>
        <v>157.38400000000001</v>
      </c>
      <c r="D7" s="9">
        <f t="shared" si="1"/>
        <v>167.45500000000001</v>
      </c>
      <c r="E7" s="9">
        <f t="shared" si="1"/>
        <v>175.76500000000001</v>
      </c>
      <c r="F7" s="9">
        <f t="shared" si="1"/>
        <v>184.47899999999998</v>
      </c>
      <c r="G7" s="9">
        <f t="shared" si="1"/>
        <v>183.17399999999998</v>
      </c>
      <c r="H7" s="9">
        <f t="shared" si="1"/>
        <v>190.422</v>
      </c>
      <c r="I7" s="9">
        <f t="shared" si="1"/>
        <v>198.84300000000002</v>
      </c>
      <c r="J7" s="9">
        <f t="shared" si="1"/>
        <v>205.268</v>
      </c>
      <c r="K7" s="9">
        <f t="shared" ref="K7" si="2">+K5+K6</f>
        <v>205.101</v>
      </c>
      <c r="P7" s="9">
        <f>+P5+P6</f>
        <v>411.48600000000005</v>
      </c>
      <c r="Q7" s="9">
        <f>+Q5+Q6</f>
        <v>535.404</v>
      </c>
      <c r="R7" s="9">
        <f>+R5+R6</f>
        <v>685.08299999999997</v>
      </c>
      <c r="S7" s="9">
        <f>+S5+S6</f>
        <v>777.70699999999999</v>
      </c>
      <c r="T7" s="15">
        <f>+S7*1.14</f>
        <v>886.58597999999995</v>
      </c>
      <c r="U7" s="15">
        <f t="shared" ref="U7:V7" si="3">+T7*1.14</f>
        <v>1010.7080171999999</v>
      </c>
      <c r="V7" s="15">
        <f t="shared" si="3"/>
        <v>1152.2071396079998</v>
      </c>
      <c r="W7" s="15">
        <f t="shared" ref="W7:AD7" si="4">+V7*1.1</f>
        <v>1267.4278535687999</v>
      </c>
      <c r="X7" s="15">
        <f t="shared" si="4"/>
        <v>1394.1706389256801</v>
      </c>
      <c r="Y7" s="15">
        <f t="shared" si="4"/>
        <v>1533.5877028182483</v>
      </c>
      <c r="Z7" s="15">
        <f t="shared" si="4"/>
        <v>1686.9464731000733</v>
      </c>
      <c r="AA7" s="15">
        <f t="shared" si="4"/>
        <v>1855.6411204100807</v>
      </c>
      <c r="AB7" s="15">
        <f t="shared" si="4"/>
        <v>2041.2052324510889</v>
      </c>
      <c r="AC7" s="15">
        <f t="shared" si="4"/>
        <v>2245.325755696198</v>
      </c>
      <c r="AD7" s="15">
        <f t="shared" si="4"/>
        <v>2469.8583312658179</v>
      </c>
      <c r="AE7" s="15">
        <f>+AD7*1.05</f>
        <v>2593.3512478291091</v>
      </c>
      <c r="AF7" s="15">
        <f t="shared" ref="AF7:AI7" si="5">+AE7*1.05</f>
        <v>2723.0188102205648</v>
      </c>
      <c r="AG7" s="15">
        <f t="shared" si="5"/>
        <v>2859.169750731593</v>
      </c>
      <c r="AH7" s="15">
        <f t="shared" si="5"/>
        <v>3002.1282382681729</v>
      </c>
      <c r="AI7" s="15">
        <f t="shared" si="5"/>
        <v>3152.2346501815819</v>
      </c>
    </row>
    <row r="8" spans="2:35" x14ac:dyDescent="0.2">
      <c r="B8" t="s">
        <v>12</v>
      </c>
      <c r="C8" s="6">
        <v>51.289000000000001</v>
      </c>
      <c r="D8" s="6">
        <v>54.274999999999999</v>
      </c>
      <c r="E8" s="6">
        <v>53.85</v>
      </c>
      <c r="F8" s="6">
        <v>54.935000000000002</v>
      </c>
      <c r="G8" s="6">
        <v>55.999000000000002</v>
      </c>
      <c r="H8" s="6">
        <v>58.164000000000001</v>
      </c>
      <c r="I8" s="6">
        <v>57.83</v>
      </c>
      <c r="J8" s="6">
        <v>59.747999999999998</v>
      </c>
      <c r="K8" s="6">
        <v>60.902999999999999</v>
      </c>
      <c r="P8" s="6">
        <v>121.517</v>
      </c>
      <c r="Q8" s="6">
        <v>168.94800000000001</v>
      </c>
      <c r="R8" s="6">
        <v>214.34899999999999</v>
      </c>
      <c r="S8" s="6">
        <v>231.74100000000001</v>
      </c>
      <c r="T8" s="2">
        <f>+S8*1.1</f>
        <v>254.91510000000002</v>
      </c>
      <c r="U8" s="2">
        <f t="shared" ref="U8:AI8" si="6">+T8*1.1</f>
        <v>280.40661000000006</v>
      </c>
      <c r="V8" s="2">
        <f t="shared" si="6"/>
        <v>308.44727100000011</v>
      </c>
      <c r="W8" s="2">
        <f t="shared" si="6"/>
        <v>339.29199810000017</v>
      </c>
      <c r="X8" s="2">
        <f t="shared" si="6"/>
        <v>373.22119791000023</v>
      </c>
      <c r="Y8" s="2">
        <f t="shared" si="6"/>
        <v>410.54331770100026</v>
      </c>
      <c r="Z8" s="2">
        <f t="shared" si="6"/>
        <v>451.59764947110034</v>
      </c>
      <c r="AA8" s="2">
        <f t="shared" si="6"/>
        <v>496.75741441821043</v>
      </c>
      <c r="AB8" s="2">
        <f t="shared" si="6"/>
        <v>546.43315586003155</v>
      </c>
      <c r="AC8" s="2">
        <f t="shared" si="6"/>
        <v>601.0764714460347</v>
      </c>
      <c r="AD8" s="2">
        <f t="shared" si="6"/>
        <v>661.18411859063826</v>
      </c>
      <c r="AE8" s="2">
        <f t="shared" si="6"/>
        <v>727.3025304497022</v>
      </c>
      <c r="AF8" s="2">
        <f t="shared" si="6"/>
        <v>800.03278349467246</v>
      </c>
      <c r="AG8" s="2">
        <f t="shared" si="6"/>
        <v>880.03606184413979</v>
      </c>
      <c r="AH8" s="2">
        <f t="shared" si="6"/>
        <v>968.03966802855382</v>
      </c>
      <c r="AI8" s="2">
        <f t="shared" si="6"/>
        <v>1064.8436348314092</v>
      </c>
    </row>
    <row r="9" spans="2:35" x14ac:dyDescent="0.2">
      <c r="B9" t="s">
        <v>13</v>
      </c>
      <c r="C9" s="6">
        <f t="shared" ref="C9:J9" si="7">+C7-C8</f>
        <v>106.09500000000001</v>
      </c>
      <c r="D9" s="6">
        <f t="shared" si="7"/>
        <v>113.18</v>
      </c>
      <c r="E9" s="6">
        <f t="shared" si="7"/>
        <v>121.91500000000002</v>
      </c>
      <c r="F9" s="6">
        <f t="shared" si="7"/>
        <v>129.54399999999998</v>
      </c>
      <c r="G9" s="6">
        <f t="shared" si="7"/>
        <v>127.17499999999998</v>
      </c>
      <c r="H9" s="6">
        <f t="shared" si="7"/>
        <v>132.25799999999998</v>
      </c>
      <c r="I9" s="6">
        <f t="shared" si="7"/>
        <v>141.01300000000003</v>
      </c>
      <c r="J9" s="6">
        <f t="shared" si="7"/>
        <v>145.52000000000001</v>
      </c>
      <c r="K9" s="6">
        <f t="shared" ref="K9" si="8">+K7-K8</f>
        <v>144.19800000000001</v>
      </c>
      <c r="P9" s="6">
        <f>+P7-P8</f>
        <v>289.96900000000005</v>
      </c>
      <c r="Q9" s="6">
        <f>+Q7-Q8</f>
        <v>366.45600000000002</v>
      </c>
      <c r="R9" s="6">
        <f>+R7-R8</f>
        <v>470.73399999999998</v>
      </c>
      <c r="S9" s="6">
        <f>+S7-S8</f>
        <v>545.96600000000001</v>
      </c>
      <c r="T9" s="6">
        <f>+T7-T8</f>
        <v>631.6708799999999</v>
      </c>
      <c r="U9" s="6">
        <f t="shared" ref="U9:AI9" si="9">+U7-U8</f>
        <v>730.30140719999986</v>
      </c>
      <c r="V9" s="6">
        <f t="shared" si="9"/>
        <v>843.75986860799969</v>
      </c>
      <c r="W9" s="6">
        <f t="shared" si="9"/>
        <v>928.13585546879972</v>
      </c>
      <c r="X9" s="6">
        <f t="shared" si="9"/>
        <v>1020.9494410156799</v>
      </c>
      <c r="Y9" s="6">
        <f t="shared" si="9"/>
        <v>1123.0443851172481</v>
      </c>
      <c r="Z9" s="6">
        <f t="shared" si="9"/>
        <v>1235.3488236289729</v>
      </c>
      <c r="AA9" s="6">
        <f t="shared" si="9"/>
        <v>1358.8837059918703</v>
      </c>
      <c r="AB9" s="6">
        <f t="shared" si="9"/>
        <v>1494.7720765910574</v>
      </c>
      <c r="AC9" s="6">
        <f t="shared" si="9"/>
        <v>1644.2492842501633</v>
      </c>
      <c r="AD9" s="6">
        <f t="shared" si="9"/>
        <v>1808.6742126751797</v>
      </c>
      <c r="AE9" s="6">
        <f t="shared" si="9"/>
        <v>1866.0487173794068</v>
      </c>
      <c r="AF9" s="6">
        <f t="shared" si="9"/>
        <v>1922.9860267258923</v>
      </c>
      <c r="AG9" s="6">
        <f t="shared" si="9"/>
        <v>1979.1336888874532</v>
      </c>
      <c r="AH9" s="6">
        <f t="shared" si="9"/>
        <v>2034.088570239619</v>
      </c>
      <c r="AI9" s="6">
        <f t="shared" si="9"/>
        <v>2087.3910153501729</v>
      </c>
    </row>
    <row r="10" spans="2:35" x14ac:dyDescent="0.2">
      <c r="B10" t="s">
        <v>14</v>
      </c>
      <c r="C10" s="6">
        <v>49.811999999999998</v>
      </c>
      <c r="D10" s="6">
        <v>48.906999999999996</v>
      </c>
      <c r="E10" s="6">
        <v>48.622</v>
      </c>
      <c r="F10" s="6">
        <v>42.628999999999998</v>
      </c>
      <c r="G10" s="6">
        <v>46.345999999999997</v>
      </c>
      <c r="H10" s="6">
        <v>50.762</v>
      </c>
      <c r="I10" s="6">
        <v>39.94</v>
      </c>
      <c r="J10" s="6">
        <v>39.728999999999999</v>
      </c>
      <c r="K10" s="6">
        <v>40.99</v>
      </c>
      <c r="P10" s="6">
        <v>108.568</v>
      </c>
      <c r="Q10" s="6">
        <v>160.779</v>
      </c>
      <c r="R10" s="6">
        <v>189.97</v>
      </c>
      <c r="S10" s="6">
        <v>176.77600000000001</v>
      </c>
      <c r="T10" s="2">
        <f>+T7*0.2</f>
        <v>177.317196</v>
      </c>
      <c r="U10" s="2">
        <f t="shared" ref="U10:AI10" si="10">+U7*0.2</f>
        <v>202.14160343999998</v>
      </c>
      <c r="V10" s="2">
        <f t="shared" si="10"/>
        <v>230.44142792159997</v>
      </c>
      <c r="W10" s="2">
        <f t="shared" si="10"/>
        <v>253.48557071376001</v>
      </c>
      <c r="X10" s="2">
        <f t="shared" si="10"/>
        <v>278.83412778513605</v>
      </c>
      <c r="Y10" s="2">
        <f t="shared" si="10"/>
        <v>306.71754056364966</v>
      </c>
      <c r="Z10" s="2">
        <f t="shared" si="10"/>
        <v>337.38929462001465</v>
      </c>
      <c r="AA10" s="2">
        <f t="shared" si="10"/>
        <v>371.12822408201617</v>
      </c>
      <c r="AB10" s="2">
        <f t="shared" si="10"/>
        <v>408.2410464902178</v>
      </c>
      <c r="AC10" s="2">
        <f t="shared" si="10"/>
        <v>449.06515113923962</v>
      </c>
      <c r="AD10" s="2">
        <f t="shared" si="10"/>
        <v>493.97166625316362</v>
      </c>
      <c r="AE10" s="2">
        <f t="shared" si="10"/>
        <v>518.67024956582179</v>
      </c>
      <c r="AF10" s="2">
        <f t="shared" si="10"/>
        <v>544.60376204411295</v>
      </c>
      <c r="AG10" s="2">
        <f t="shared" si="10"/>
        <v>571.83395014631867</v>
      </c>
      <c r="AH10" s="2">
        <f t="shared" si="10"/>
        <v>600.42564765363466</v>
      </c>
      <c r="AI10" s="2">
        <f t="shared" si="10"/>
        <v>630.44693003631642</v>
      </c>
    </row>
    <row r="11" spans="2:35" x14ac:dyDescent="0.2">
      <c r="B11" t="s">
        <v>15</v>
      </c>
      <c r="C11" s="6">
        <v>75.146000000000001</v>
      </c>
      <c r="D11" s="6">
        <v>78.034000000000006</v>
      </c>
      <c r="E11" s="6">
        <v>75.968000000000004</v>
      </c>
      <c r="F11" s="6">
        <v>78.260999999999996</v>
      </c>
      <c r="G11" s="6">
        <v>80.587000000000003</v>
      </c>
      <c r="H11" s="6">
        <v>83.036000000000001</v>
      </c>
      <c r="I11" s="6">
        <v>75.698999999999998</v>
      </c>
      <c r="J11" s="6">
        <v>73.313999999999993</v>
      </c>
      <c r="K11" s="6">
        <v>72.805000000000007</v>
      </c>
      <c r="P11" s="6">
        <v>195.98099999999999</v>
      </c>
      <c r="Q11" s="6">
        <v>247.453</v>
      </c>
      <c r="R11" s="6">
        <v>307.40899999999999</v>
      </c>
      <c r="S11" s="6">
        <v>312.63600000000002</v>
      </c>
      <c r="T11" s="2">
        <f>+S11*1.05</f>
        <v>328.26780000000002</v>
      </c>
      <c r="U11" s="2">
        <f t="shared" ref="U11:AI11" si="11">+T11*1.05</f>
        <v>344.68119000000002</v>
      </c>
      <c r="V11" s="2">
        <f t="shared" si="11"/>
        <v>361.91524950000002</v>
      </c>
      <c r="W11" s="2">
        <f t="shared" si="11"/>
        <v>380.01101197500003</v>
      </c>
      <c r="X11" s="2">
        <f t="shared" si="11"/>
        <v>399.01156257375004</v>
      </c>
      <c r="Y11" s="2">
        <f t="shared" si="11"/>
        <v>418.96214070243758</v>
      </c>
      <c r="Z11" s="2">
        <f t="shared" si="11"/>
        <v>439.91024773755947</v>
      </c>
      <c r="AA11" s="2">
        <f t="shared" si="11"/>
        <v>461.90576012443745</v>
      </c>
      <c r="AB11" s="2">
        <f t="shared" si="11"/>
        <v>485.00104813065934</v>
      </c>
      <c r="AC11" s="2">
        <f t="shared" si="11"/>
        <v>509.25110053719231</v>
      </c>
      <c r="AD11" s="2">
        <f t="shared" si="11"/>
        <v>534.71365556405192</v>
      </c>
      <c r="AE11" s="2">
        <f t="shared" si="11"/>
        <v>561.44933834225458</v>
      </c>
      <c r="AF11" s="2">
        <f t="shared" si="11"/>
        <v>589.52180525936728</v>
      </c>
      <c r="AG11" s="2">
        <f t="shared" si="11"/>
        <v>618.99789552233563</v>
      </c>
      <c r="AH11" s="2">
        <f t="shared" si="11"/>
        <v>649.94779029845245</v>
      </c>
      <c r="AI11" s="2">
        <f t="shared" si="11"/>
        <v>682.44517981337515</v>
      </c>
    </row>
    <row r="12" spans="2:35" x14ac:dyDescent="0.2">
      <c r="B12" t="s">
        <v>16</v>
      </c>
      <c r="C12" s="6">
        <v>21.515999999999998</v>
      </c>
      <c r="D12" s="6">
        <v>20.89</v>
      </c>
      <c r="E12" s="6">
        <v>20.561</v>
      </c>
      <c r="F12" s="6">
        <v>22.003</v>
      </c>
      <c r="G12" s="6">
        <v>24.207000000000001</v>
      </c>
      <c r="H12" s="6">
        <v>22.888000000000002</v>
      </c>
      <c r="I12" s="6">
        <v>17.866</v>
      </c>
      <c r="J12" s="6">
        <v>19.314</v>
      </c>
      <c r="K12" s="6">
        <v>19.835000000000001</v>
      </c>
      <c r="P12" s="6">
        <v>59.518999999999998</v>
      </c>
      <c r="Q12" s="6">
        <v>78.289000000000001</v>
      </c>
      <c r="R12" s="6">
        <v>84.968999999999994</v>
      </c>
      <c r="S12" s="6">
        <v>84.275999999999996</v>
      </c>
      <c r="T12" s="2">
        <f>+S12*1.02</f>
        <v>85.961519999999993</v>
      </c>
      <c r="U12" s="2">
        <f t="shared" ref="U12:AI12" si="12">+T12*1.02</f>
        <v>87.680750399999994</v>
      </c>
      <c r="V12" s="2">
        <f t="shared" si="12"/>
        <v>89.434365407999991</v>
      </c>
      <c r="W12" s="2">
        <f t="shared" si="12"/>
        <v>91.223052716159998</v>
      </c>
      <c r="X12" s="2">
        <f t="shared" si="12"/>
        <v>93.047513770483206</v>
      </c>
      <c r="Y12" s="2">
        <f t="shared" si="12"/>
        <v>94.90846404589287</v>
      </c>
      <c r="Z12" s="2">
        <f t="shared" si="12"/>
        <v>96.806633326810726</v>
      </c>
      <c r="AA12" s="2">
        <f t="shared" si="12"/>
        <v>98.742765993346936</v>
      </c>
      <c r="AB12" s="2">
        <f t="shared" si="12"/>
        <v>100.71762131321388</v>
      </c>
      <c r="AC12" s="2">
        <f t="shared" si="12"/>
        <v>102.73197373947816</v>
      </c>
      <c r="AD12" s="2">
        <f t="shared" si="12"/>
        <v>104.78661321426773</v>
      </c>
      <c r="AE12" s="2">
        <f t="shared" si="12"/>
        <v>106.88234547855309</v>
      </c>
      <c r="AF12" s="2">
        <f t="shared" si="12"/>
        <v>109.01999238812415</v>
      </c>
      <c r="AG12" s="2">
        <f t="shared" si="12"/>
        <v>111.20039223588664</v>
      </c>
      <c r="AH12" s="2">
        <f t="shared" si="12"/>
        <v>113.42440008060437</v>
      </c>
      <c r="AI12" s="2">
        <f t="shared" si="12"/>
        <v>115.69288808221646</v>
      </c>
    </row>
    <row r="13" spans="2:35" x14ac:dyDescent="0.2">
      <c r="B13" t="s">
        <v>17</v>
      </c>
      <c r="C13" s="6">
        <f t="shared" ref="C13:J13" si="13">SUM(C10:C12)</f>
        <v>146.47399999999999</v>
      </c>
      <c r="D13" s="6">
        <f t="shared" si="13"/>
        <v>147.83100000000002</v>
      </c>
      <c r="E13" s="6">
        <f t="shared" si="13"/>
        <v>145.15100000000001</v>
      </c>
      <c r="F13" s="6">
        <f t="shared" si="13"/>
        <v>142.89299999999997</v>
      </c>
      <c r="G13" s="6">
        <f t="shared" si="13"/>
        <v>151.13999999999999</v>
      </c>
      <c r="H13" s="6">
        <f t="shared" si="13"/>
        <v>156.68600000000001</v>
      </c>
      <c r="I13" s="6">
        <f t="shared" si="13"/>
        <v>133.505</v>
      </c>
      <c r="J13" s="6">
        <f t="shared" si="13"/>
        <v>132.357</v>
      </c>
      <c r="K13" s="6">
        <f t="shared" ref="K13" si="14">SUM(K10:K12)</f>
        <v>133.63000000000002</v>
      </c>
      <c r="P13" s="6">
        <f>SUM(P10:P12)</f>
        <v>364.06799999999998</v>
      </c>
      <c r="Q13" s="6">
        <f>SUM(Q10:Q12)</f>
        <v>486.52099999999996</v>
      </c>
      <c r="R13" s="6">
        <f>SUM(R10:R12)</f>
        <v>582.34799999999996</v>
      </c>
      <c r="S13" s="6">
        <f>SUM(S10:S12)</f>
        <v>573.68799999999999</v>
      </c>
      <c r="T13" s="6">
        <f>SUM(T10:T12)</f>
        <v>591.546516</v>
      </c>
      <c r="U13" s="6">
        <f t="shared" ref="U13:AI13" si="15">SUM(U10:U12)</f>
        <v>634.50354383999991</v>
      </c>
      <c r="V13" s="6">
        <f t="shared" si="15"/>
        <v>681.79104282959997</v>
      </c>
      <c r="W13" s="6">
        <f t="shared" si="15"/>
        <v>724.71963540492015</v>
      </c>
      <c r="X13" s="6">
        <f t="shared" si="15"/>
        <v>770.89320412936922</v>
      </c>
      <c r="Y13" s="6">
        <f t="shared" si="15"/>
        <v>820.58814531198016</v>
      </c>
      <c r="Z13" s="6">
        <f t="shared" si="15"/>
        <v>874.10617568438488</v>
      </c>
      <c r="AA13" s="6">
        <f t="shared" si="15"/>
        <v>931.77675019980052</v>
      </c>
      <c r="AB13" s="6">
        <f t="shared" si="15"/>
        <v>993.95971593409104</v>
      </c>
      <c r="AC13" s="6">
        <f t="shared" si="15"/>
        <v>1061.0482254159101</v>
      </c>
      <c r="AD13" s="6">
        <f t="shared" si="15"/>
        <v>1133.4719350314831</v>
      </c>
      <c r="AE13" s="6">
        <f t="shared" si="15"/>
        <v>1187.0019333866296</v>
      </c>
      <c r="AF13" s="6">
        <f t="shared" si="15"/>
        <v>1243.1455596916044</v>
      </c>
      <c r="AG13" s="6">
        <f t="shared" si="15"/>
        <v>1302.032237904541</v>
      </c>
      <c r="AH13" s="6">
        <f t="shared" si="15"/>
        <v>1363.7978380326913</v>
      </c>
      <c r="AI13" s="6">
        <f t="shared" si="15"/>
        <v>1428.5849979319082</v>
      </c>
    </row>
    <row r="14" spans="2:35" s="8" customFormat="1" x14ac:dyDescent="0.2">
      <c r="B14" s="8" t="s">
        <v>18</v>
      </c>
      <c r="C14" s="9">
        <f t="shared" ref="C14:J14" si="16">+C9-C13</f>
        <v>-40.378999999999976</v>
      </c>
      <c r="D14" s="9">
        <f t="shared" si="16"/>
        <v>-34.65100000000001</v>
      </c>
      <c r="E14" s="9">
        <f t="shared" si="16"/>
        <v>-23.23599999999999</v>
      </c>
      <c r="F14" s="9">
        <f t="shared" si="16"/>
        <v>-13.34899999999999</v>
      </c>
      <c r="G14" s="9">
        <f t="shared" si="16"/>
        <v>-23.965000000000003</v>
      </c>
      <c r="H14" s="9">
        <f t="shared" si="16"/>
        <v>-24.428000000000026</v>
      </c>
      <c r="I14" s="9">
        <f t="shared" si="16"/>
        <v>7.5080000000000382</v>
      </c>
      <c r="J14" s="9">
        <f t="shared" si="16"/>
        <v>13.163000000000011</v>
      </c>
      <c r="K14" s="9">
        <f t="shared" ref="K14" si="17">+K9-K13</f>
        <v>10.567999999999984</v>
      </c>
      <c r="P14" s="9">
        <f>+P9-P13</f>
        <v>-74.098999999999933</v>
      </c>
      <c r="Q14" s="9">
        <f>+Q9-Q13</f>
        <v>-120.06499999999994</v>
      </c>
      <c r="R14" s="9">
        <f>+R9-R13</f>
        <v>-111.61399999999998</v>
      </c>
      <c r="S14" s="9">
        <f>+S9-S13</f>
        <v>-27.72199999999998</v>
      </c>
      <c r="T14" s="9">
        <f>+T9-T13</f>
        <v>40.1243639999999</v>
      </c>
      <c r="U14" s="9">
        <f t="shared" ref="U14:AI14" si="18">+U9-U13</f>
        <v>95.797863359999951</v>
      </c>
      <c r="V14" s="9">
        <f t="shared" si="18"/>
        <v>161.96882577839972</v>
      </c>
      <c r="W14" s="9">
        <f t="shared" si="18"/>
        <v>203.41622006387956</v>
      </c>
      <c r="X14" s="9">
        <f t="shared" si="18"/>
        <v>250.05623688631067</v>
      </c>
      <c r="Y14" s="9">
        <f t="shared" si="18"/>
        <v>302.45623980526796</v>
      </c>
      <c r="Z14" s="9">
        <f t="shared" si="18"/>
        <v>361.24264794458804</v>
      </c>
      <c r="AA14" s="9">
        <f t="shared" si="18"/>
        <v>427.10695579206981</v>
      </c>
      <c r="AB14" s="9">
        <f t="shared" si="18"/>
        <v>500.81236065696635</v>
      </c>
      <c r="AC14" s="9">
        <f t="shared" si="18"/>
        <v>583.20105883425322</v>
      </c>
      <c r="AD14" s="9">
        <f t="shared" si="18"/>
        <v>675.20227764369656</v>
      </c>
      <c r="AE14" s="9">
        <f t="shared" si="18"/>
        <v>679.04678399277714</v>
      </c>
      <c r="AF14" s="9">
        <f t="shared" si="18"/>
        <v>679.84046703428794</v>
      </c>
      <c r="AG14" s="9">
        <f t="shared" si="18"/>
        <v>677.10145098291218</v>
      </c>
      <c r="AH14" s="9">
        <f t="shared" si="18"/>
        <v>670.29073220692771</v>
      </c>
      <c r="AI14" s="9">
        <f t="shared" si="18"/>
        <v>658.80601741826467</v>
      </c>
    </row>
    <row r="15" spans="2:35" x14ac:dyDescent="0.2">
      <c r="B15" t="s">
        <v>19</v>
      </c>
      <c r="C15" s="6">
        <v>0.112</v>
      </c>
      <c r="D15" s="6">
        <v>0.24299999999999999</v>
      </c>
      <c r="E15" s="6">
        <v>0.498</v>
      </c>
      <c r="F15" s="6">
        <v>0.96</v>
      </c>
      <c r="G15" s="6">
        <v>1.6679999999999999</v>
      </c>
      <c r="H15" s="6">
        <v>1.7869999999999999</v>
      </c>
      <c r="I15" s="6">
        <v>2.5449999999999999</v>
      </c>
      <c r="J15" s="6">
        <v>4.1769999999999996</v>
      </c>
      <c r="K15" s="6">
        <v>4.72</v>
      </c>
      <c r="P15" s="6">
        <v>1.454</v>
      </c>
      <c r="Q15" s="6">
        <v>0.36499999999999999</v>
      </c>
      <c r="R15" s="6">
        <v>1.8129999999999999</v>
      </c>
      <c r="S15" s="6">
        <v>10.177</v>
      </c>
      <c r="T15" s="2">
        <f>+S34*0.01+S15</f>
        <v>5.2704800000000001</v>
      </c>
      <c r="U15" s="2">
        <f t="shared" ref="U15:AI15" si="19">+T34*0.01+T15</f>
        <v>2.5688439999998813E-2</v>
      </c>
      <c r="V15" s="2">
        <f t="shared" si="19"/>
        <v>-5.0530876020000033</v>
      </c>
      <c r="W15" s="2">
        <f t="shared" si="19"/>
        <v>-9.3549262622360079</v>
      </c>
      <c r="X15" s="2">
        <f t="shared" si="19"/>
        <v>-12.508371984455577</v>
      </c>
      <c r="Y15" s="2">
        <f t="shared" si="19"/>
        <v>-14.395210787460305</v>
      </c>
      <c r="Z15" s="2">
        <f t="shared" si="19"/>
        <v>-14.611337358322572</v>
      </c>
      <c r="AA15" s="2">
        <f t="shared" si="19"/>
        <v>-12.688189444494716</v>
      </c>
      <c r="AB15" s="2">
        <f t="shared" si="19"/>
        <v>-8.0834673998862598</v>
      </c>
      <c r="AC15" s="2">
        <f t="shared" si="19"/>
        <v>-0.17069020922116174</v>
      </c>
      <c r="AD15" s="2">
        <f t="shared" si="19"/>
        <v>11.772553930444191</v>
      </c>
      <c r="AE15" s="2">
        <f t="shared" si="19"/>
        <v>28.577820722702668</v>
      </c>
      <c r="AF15" s="2">
        <f t="shared" si="19"/>
        <v>50.410308352684986</v>
      </c>
      <c r="AG15" s="2">
        <f t="shared" si="19"/>
        <v>77.451026185763084</v>
      </c>
      <c r="AH15" s="2">
        <f t="shared" si="19"/>
        <v>109.89438783619059</v>
      </c>
      <c r="AI15" s="2">
        <f t="shared" si="19"/>
        <v>147.94545444696303</v>
      </c>
    </row>
    <row r="16" spans="2:35" x14ac:dyDescent="0.2">
      <c r="B16" t="s">
        <v>20</v>
      </c>
      <c r="C16" s="6">
        <v>-2.6930000000000001</v>
      </c>
      <c r="D16" s="6">
        <v>-2.758</v>
      </c>
      <c r="E16" s="6">
        <v>-2.7490000000000001</v>
      </c>
      <c r="F16" s="6">
        <v>-2.782</v>
      </c>
      <c r="G16" s="6">
        <v>-2.7170000000000001</v>
      </c>
      <c r="H16" s="6">
        <v>-2.7730000000000001</v>
      </c>
      <c r="I16" s="6">
        <v>-56.515000000000001</v>
      </c>
      <c r="J16" s="6">
        <v>-2.6949999999999998</v>
      </c>
      <c r="K16" s="6">
        <v>-2.67</v>
      </c>
      <c r="P16" s="6">
        <v>-24.137</v>
      </c>
      <c r="Q16" s="6">
        <v>-14.292</v>
      </c>
      <c r="R16" s="6">
        <v>-10.981999999999999</v>
      </c>
      <c r="S16" s="6">
        <v>-64.7</v>
      </c>
      <c r="T16" s="2">
        <f>+S16</f>
        <v>-64.7</v>
      </c>
      <c r="U16" s="2">
        <f t="shared" ref="U16:AI16" si="20">+T16</f>
        <v>-64.7</v>
      </c>
      <c r="V16" s="2">
        <f t="shared" si="20"/>
        <v>-64.7</v>
      </c>
      <c r="W16" s="2">
        <f t="shared" si="20"/>
        <v>-64.7</v>
      </c>
      <c r="X16" s="2">
        <f t="shared" si="20"/>
        <v>-64.7</v>
      </c>
      <c r="Y16" s="2">
        <f t="shared" si="20"/>
        <v>-64.7</v>
      </c>
      <c r="Z16" s="2">
        <f t="shared" si="20"/>
        <v>-64.7</v>
      </c>
      <c r="AA16" s="2">
        <f t="shared" si="20"/>
        <v>-64.7</v>
      </c>
      <c r="AB16" s="2">
        <f t="shared" si="20"/>
        <v>-64.7</v>
      </c>
      <c r="AC16" s="2">
        <f t="shared" si="20"/>
        <v>-64.7</v>
      </c>
      <c r="AD16" s="2">
        <f t="shared" si="20"/>
        <v>-64.7</v>
      </c>
      <c r="AE16" s="2">
        <f t="shared" si="20"/>
        <v>-64.7</v>
      </c>
      <c r="AF16" s="2">
        <f t="shared" si="20"/>
        <v>-64.7</v>
      </c>
      <c r="AG16" s="2">
        <f t="shared" si="20"/>
        <v>-64.7</v>
      </c>
      <c r="AH16" s="2">
        <f t="shared" si="20"/>
        <v>-64.7</v>
      </c>
      <c r="AI16" s="2">
        <f t="shared" si="20"/>
        <v>-64.7</v>
      </c>
    </row>
    <row r="17" spans="2:136" x14ac:dyDescent="0.2">
      <c r="B17" t="s">
        <v>21</v>
      </c>
      <c r="C17" s="6">
        <v>-0.60299999999999998</v>
      </c>
      <c r="D17" s="6">
        <v>-2.403</v>
      </c>
      <c r="E17" s="6">
        <v>-2.2050000000000001</v>
      </c>
      <c r="F17" s="6">
        <v>3.69</v>
      </c>
      <c r="G17" s="6">
        <v>-0.307</v>
      </c>
      <c r="H17" s="6">
        <v>-13.268000000000001</v>
      </c>
      <c r="I17" s="6">
        <v>-4.5179999999999998</v>
      </c>
      <c r="J17" s="6">
        <v>3.5710000000000002</v>
      </c>
      <c r="K17" s="6">
        <v>-1.4350000000000001</v>
      </c>
      <c r="P17" s="6">
        <v>-8.1000000000000003E-2</v>
      </c>
      <c r="Q17" s="6">
        <v>-1.921</v>
      </c>
      <c r="R17" s="6">
        <v>-1.522</v>
      </c>
      <c r="S17" s="6">
        <v>-14.522</v>
      </c>
      <c r="T17" s="2">
        <f>+S17</f>
        <v>-14.522</v>
      </c>
      <c r="U17" s="2">
        <f t="shared" ref="U17:AI17" si="21">+T17</f>
        <v>-14.522</v>
      </c>
      <c r="V17" s="2">
        <f t="shared" si="21"/>
        <v>-14.522</v>
      </c>
      <c r="W17" s="2">
        <f t="shared" si="21"/>
        <v>-14.522</v>
      </c>
      <c r="X17" s="2">
        <f t="shared" si="21"/>
        <v>-14.522</v>
      </c>
      <c r="Y17" s="2">
        <f t="shared" si="21"/>
        <v>-14.522</v>
      </c>
      <c r="Z17" s="2">
        <f t="shared" si="21"/>
        <v>-14.522</v>
      </c>
      <c r="AA17" s="2">
        <f t="shared" si="21"/>
        <v>-14.522</v>
      </c>
      <c r="AB17" s="2">
        <f t="shared" si="21"/>
        <v>-14.522</v>
      </c>
      <c r="AC17" s="2">
        <f t="shared" si="21"/>
        <v>-14.522</v>
      </c>
      <c r="AD17" s="2">
        <f t="shared" si="21"/>
        <v>-14.522</v>
      </c>
      <c r="AE17" s="2">
        <f t="shared" si="21"/>
        <v>-14.522</v>
      </c>
      <c r="AF17" s="2">
        <f t="shared" si="21"/>
        <v>-14.522</v>
      </c>
      <c r="AG17" s="2">
        <f t="shared" si="21"/>
        <v>-14.522</v>
      </c>
      <c r="AH17" s="2">
        <f t="shared" si="21"/>
        <v>-14.522</v>
      </c>
      <c r="AI17" s="2">
        <f t="shared" si="21"/>
        <v>-14.522</v>
      </c>
    </row>
    <row r="18" spans="2:136" x14ac:dyDescent="0.2">
      <c r="B18" t="s">
        <v>22</v>
      </c>
      <c r="C18" s="6">
        <f t="shared" ref="C18:J18" si="22">C14+SUM(C15:C17)</f>
        <v>-43.562999999999974</v>
      </c>
      <c r="D18" s="6">
        <f t="shared" si="22"/>
        <v>-39.56900000000001</v>
      </c>
      <c r="E18" s="6">
        <f t="shared" si="22"/>
        <v>-27.69199999999999</v>
      </c>
      <c r="F18" s="6">
        <f t="shared" si="22"/>
        <v>-11.480999999999989</v>
      </c>
      <c r="G18" s="6">
        <f t="shared" si="22"/>
        <v>-25.321000000000005</v>
      </c>
      <c r="H18" s="6">
        <f t="shared" si="22"/>
        <v>-38.682000000000031</v>
      </c>
      <c r="I18" s="6">
        <f t="shared" si="22"/>
        <v>-50.979999999999961</v>
      </c>
      <c r="J18" s="6">
        <f t="shared" si="22"/>
        <v>18.216000000000012</v>
      </c>
      <c r="K18" s="6">
        <f t="shared" ref="K18" si="23">K14+SUM(K15:K17)</f>
        <v>11.182999999999984</v>
      </c>
      <c r="P18" s="6">
        <f>P14+SUM(P15:P17)</f>
        <v>-96.862999999999928</v>
      </c>
      <c r="Q18" s="6">
        <f>Q14+SUM(Q15:Q17)</f>
        <v>-135.91299999999995</v>
      </c>
      <c r="R18" s="6">
        <f>R14+SUM(R15:R17)</f>
        <v>-122.30499999999998</v>
      </c>
      <c r="S18" s="6">
        <f>S14+SUM(S15:S17)</f>
        <v>-96.766999999999982</v>
      </c>
      <c r="T18" s="6">
        <f>T14+SUM(T15:T17)</f>
        <v>-33.827156000000102</v>
      </c>
      <c r="U18" s="6">
        <f t="shared" ref="U18:AI18" si="24">U14+SUM(U15:U17)</f>
        <v>16.601551799999939</v>
      </c>
      <c r="V18" s="6">
        <f t="shared" si="24"/>
        <v>77.693738176399705</v>
      </c>
      <c r="W18" s="6">
        <f t="shared" si="24"/>
        <v>114.83929380164355</v>
      </c>
      <c r="X18" s="6">
        <f t="shared" si="24"/>
        <v>158.32586490185508</v>
      </c>
      <c r="Y18" s="6">
        <f t="shared" si="24"/>
        <v>208.83902901780766</v>
      </c>
      <c r="Z18" s="6">
        <f t="shared" si="24"/>
        <v>267.40931058626546</v>
      </c>
      <c r="AA18" s="6">
        <f t="shared" si="24"/>
        <v>335.19676634757508</v>
      </c>
      <c r="AB18" s="6">
        <f t="shared" si="24"/>
        <v>413.50689325708009</v>
      </c>
      <c r="AC18" s="6">
        <f t="shared" si="24"/>
        <v>503.80836862503202</v>
      </c>
      <c r="AD18" s="6">
        <f t="shared" si="24"/>
        <v>607.75283157414071</v>
      </c>
      <c r="AE18" s="6">
        <f t="shared" si="24"/>
        <v>628.40260471547981</v>
      </c>
      <c r="AF18" s="6">
        <f t="shared" si="24"/>
        <v>651.02877538697294</v>
      </c>
      <c r="AG18" s="6">
        <f t="shared" si="24"/>
        <v>675.33047716867532</v>
      </c>
      <c r="AH18" s="6">
        <f t="shared" si="24"/>
        <v>700.96312004311835</v>
      </c>
      <c r="AI18" s="6">
        <f t="shared" si="24"/>
        <v>727.52947186522772</v>
      </c>
    </row>
    <row r="19" spans="2:136" x14ac:dyDescent="0.2">
      <c r="B19" t="s">
        <v>23</v>
      </c>
      <c r="C19" s="6">
        <v>1.4359999999999999</v>
      </c>
      <c r="D19" s="6">
        <v>3.6999999999999998E-2</v>
      </c>
      <c r="E19" s="6">
        <v>1.0349999999999999</v>
      </c>
      <c r="F19" s="6">
        <v>-9.6000000000000002E-2</v>
      </c>
      <c r="G19" s="6">
        <v>0.59399999999999997</v>
      </c>
      <c r="H19" s="6">
        <v>0.86899999999999999</v>
      </c>
      <c r="I19" s="6">
        <v>2.0819999999999999</v>
      </c>
      <c r="J19" s="6">
        <v>-4.0629999999999997</v>
      </c>
      <c r="K19" s="6">
        <v>8.9250000000000007</v>
      </c>
      <c r="P19" s="6">
        <v>10.420999999999999</v>
      </c>
      <c r="Q19" s="6">
        <v>10.420999999999999</v>
      </c>
      <c r="R19" s="6">
        <v>2.4119999999999999</v>
      </c>
      <c r="S19" s="6">
        <v>-0.51800000000000002</v>
      </c>
      <c r="T19" s="2">
        <v>0</v>
      </c>
      <c r="U19" s="2">
        <v>0</v>
      </c>
      <c r="V19" s="2">
        <v>0</v>
      </c>
      <c r="W19" s="2">
        <v>0</v>
      </c>
      <c r="X19" s="2">
        <f>+X18*0.2</f>
        <v>31.665172980371018</v>
      </c>
      <c r="Y19" s="2">
        <f t="shared" ref="Y19:AI19" si="25">+Y18*0.2</f>
        <v>41.767805803561536</v>
      </c>
      <c r="Z19" s="2">
        <f t="shared" si="25"/>
        <v>53.481862117253094</v>
      </c>
      <c r="AA19" s="2">
        <f t="shared" si="25"/>
        <v>67.039353269515018</v>
      </c>
      <c r="AB19" s="2">
        <f t="shared" si="25"/>
        <v>82.701378651416022</v>
      </c>
      <c r="AC19" s="2">
        <f t="shared" si="25"/>
        <v>100.7616737250064</v>
      </c>
      <c r="AD19" s="2">
        <f t="shared" si="25"/>
        <v>121.55056631482815</v>
      </c>
      <c r="AE19" s="2">
        <f t="shared" si="25"/>
        <v>125.68052094309597</v>
      </c>
      <c r="AF19" s="2">
        <f t="shared" si="25"/>
        <v>130.2057550773946</v>
      </c>
      <c r="AG19" s="2">
        <f t="shared" si="25"/>
        <v>135.06609543373506</v>
      </c>
      <c r="AH19" s="2">
        <f t="shared" si="25"/>
        <v>140.19262400862368</v>
      </c>
      <c r="AI19" s="2">
        <f t="shared" si="25"/>
        <v>145.50589437304555</v>
      </c>
    </row>
    <row r="20" spans="2:136" s="8" customFormat="1" x14ac:dyDescent="0.2">
      <c r="B20" s="8" t="s">
        <v>24</v>
      </c>
      <c r="C20" s="9">
        <f t="shared" ref="C20:J20" si="26">+C18-C19</f>
        <v>-44.998999999999974</v>
      </c>
      <c r="D20" s="9">
        <f t="shared" si="26"/>
        <v>-39.606000000000009</v>
      </c>
      <c r="E20" s="9">
        <f t="shared" si="26"/>
        <v>-28.72699999999999</v>
      </c>
      <c r="F20" s="9">
        <f t="shared" si="26"/>
        <v>-11.384999999999989</v>
      </c>
      <c r="G20" s="9">
        <f t="shared" si="26"/>
        <v>-25.915000000000006</v>
      </c>
      <c r="H20" s="9">
        <f t="shared" si="26"/>
        <v>-39.55100000000003</v>
      </c>
      <c r="I20" s="9">
        <f t="shared" si="26"/>
        <v>-53.061999999999962</v>
      </c>
      <c r="J20" s="9">
        <f t="shared" si="26"/>
        <v>22.279000000000011</v>
      </c>
      <c r="K20" s="9">
        <f t="shared" ref="K20" si="27">+K18-K19</f>
        <v>2.2579999999999831</v>
      </c>
      <c r="P20" s="9">
        <f>+P18-P19</f>
        <v>-107.28399999999993</v>
      </c>
      <c r="Q20" s="9">
        <f>+Q18-Q19</f>
        <v>-146.33399999999995</v>
      </c>
      <c r="R20" s="9">
        <f>+R18-R19</f>
        <v>-124.71699999999998</v>
      </c>
      <c r="S20" s="9">
        <f>+S18-S19</f>
        <v>-96.248999999999981</v>
      </c>
      <c r="T20" s="9">
        <f>+T18-T19</f>
        <v>-33.827156000000102</v>
      </c>
      <c r="U20" s="9">
        <f t="shared" ref="U20:AI20" si="28">+U18-U19</f>
        <v>16.601551799999939</v>
      </c>
      <c r="V20" s="9">
        <f t="shared" si="28"/>
        <v>77.693738176399705</v>
      </c>
      <c r="W20" s="9">
        <f t="shared" si="28"/>
        <v>114.83929380164355</v>
      </c>
      <c r="X20" s="9">
        <f t="shared" si="28"/>
        <v>126.66069192148407</v>
      </c>
      <c r="Y20" s="9">
        <f t="shared" si="28"/>
        <v>167.07122321424612</v>
      </c>
      <c r="Z20" s="9">
        <f t="shared" si="28"/>
        <v>213.92744846901238</v>
      </c>
      <c r="AA20" s="9">
        <f t="shared" si="28"/>
        <v>268.15741307806007</v>
      </c>
      <c r="AB20" s="9">
        <f t="shared" si="28"/>
        <v>330.80551460566409</v>
      </c>
      <c r="AC20" s="9">
        <f t="shared" si="28"/>
        <v>403.04669490002561</v>
      </c>
      <c r="AD20" s="9">
        <f t="shared" si="28"/>
        <v>486.20226525931258</v>
      </c>
      <c r="AE20" s="9">
        <f t="shared" si="28"/>
        <v>502.72208377238383</v>
      </c>
      <c r="AF20" s="9">
        <f t="shared" si="28"/>
        <v>520.8230203095784</v>
      </c>
      <c r="AG20" s="9">
        <f t="shared" si="28"/>
        <v>540.26438173494023</v>
      </c>
      <c r="AH20" s="9">
        <f t="shared" si="28"/>
        <v>560.77049603449473</v>
      </c>
      <c r="AI20" s="9">
        <f t="shared" si="28"/>
        <v>582.0235774921822</v>
      </c>
      <c r="AJ20" s="15">
        <f>+AI20*(1+$AL$26)</f>
        <v>564.56287016741669</v>
      </c>
      <c r="AK20" s="15">
        <f>+AJ20*(1+$AL$26)</f>
        <v>547.6259840623942</v>
      </c>
      <c r="AL20" s="15">
        <f t="shared" ref="AL20:CV20" si="29">+AK20*(1+$AL$26)</f>
        <v>531.19720454052231</v>
      </c>
      <c r="AM20" s="15">
        <f t="shared" si="29"/>
        <v>515.26128840430658</v>
      </c>
      <c r="AN20" s="15">
        <f t="shared" si="29"/>
        <v>499.80344975217736</v>
      </c>
      <c r="AO20" s="15">
        <f t="shared" si="29"/>
        <v>484.80934625961203</v>
      </c>
      <c r="AP20" s="15">
        <f t="shared" si="29"/>
        <v>470.26506587182365</v>
      </c>
      <c r="AQ20" s="15">
        <f t="shared" si="29"/>
        <v>456.15711389566894</v>
      </c>
      <c r="AR20" s="15">
        <f t="shared" si="29"/>
        <v>442.47240047879887</v>
      </c>
      <c r="AS20" s="15">
        <f t="shared" si="29"/>
        <v>429.19822846443492</v>
      </c>
      <c r="AT20" s="15">
        <f t="shared" si="29"/>
        <v>416.32228161050188</v>
      </c>
      <c r="AU20" s="15">
        <f t="shared" si="29"/>
        <v>403.83261316218682</v>
      </c>
      <c r="AV20" s="15">
        <f t="shared" si="29"/>
        <v>391.71763476732121</v>
      </c>
      <c r="AW20" s="15">
        <f t="shared" si="29"/>
        <v>379.96610572430154</v>
      </c>
      <c r="AX20" s="15">
        <f t="shared" si="29"/>
        <v>368.56712255257247</v>
      </c>
      <c r="AY20" s="15">
        <f t="shared" si="29"/>
        <v>357.51010887599529</v>
      </c>
      <c r="AZ20" s="15">
        <f t="shared" si="29"/>
        <v>346.78480560971542</v>
      </c>
      <c r="BA20" s="15">
        <f t="shared" si="29"/>
        <v>336.38126144142393</v>
      </c>
      <c r="BB20" s="15">
        <f t="shared" si="29"/>
        <v>326.28982359818121</v>
      </c>
      <c r="BC20" s="15">
        <f t="shared" si="29"/>
        <v>316.50112889023575</v>
      </c>
      <c r="BD20" s="15">
        <f t="shared" si="29"/>
        <v>307.00609502352864</v>
      </c>
      <c r="BE20" s="15">
        <f t="shared" si="29"/>
        <v>297.7959121728228</v>
      </c>
      <c r="BF20" s="15">
        <f t="shared" si="29"/>
        <v>288.86203480763811</v>
      </c>
      <c r="BG20" s="15">
        <f t="shared" si="29"/>
        <v>280.19617376340898</v>
      </c>
      <c r="BH20" s="15">
        <f t="shared" si="29"/>
        <v>271.79028855050672</v>
      </c>
      <c r="BI20" s="15">
        <f t="shared" si="29"/>
        <v>263.6365798939915</v>
      </c>
      <c r="BJ20" s="15">
        <f t="shared" si="29"/>
        <v>255.72748249717174</v>
      </c>
      <c r="BK20" s="15">
        <f t="shared" si="29"/>
        <v>248.05565802225658</v>
      </c>
      <c r="BL20" s="15">
        <f t="shared" si="29"/>
        <v>240.61398828158889</v>
      </c>
      <c r="BM20" s="15">
        <f t="shared" si="29"/>
        <v>233.39556863314121</v>
      </c>
      <c r="BN20" s="15">
        <f t="shared" si="29"/>
        <v>226.39370157414697</v>
      </c>
      <c r="BO20" s="15">
        <f t="shared" si="29"/>
        <v>219.60189052692255</v>
      </c>
      <c r="BP20" s="15">
        <f t="shared" si="29"/>
        <v>213.01383381111486</v>
      </c>
      <c r="BQ20" s="15">
        <f t="shared" si="29"/>
        <v>206.62341879678141</v>
      </c>
      <c r="BR20" s="15">
        <f t="shared" si="29"/>
        <v>200.42471623287796</v>
      </c>
      <c r="BS20" s="15">
        <f t="shared" si="29"/>
        <v>194.4119747458916</v>
      </c>
      <c r="BT20" s="15">
        <f t="shared" si="29"/>
        <v>188.57961550351484</v>
      </c>
      <c r="BU20" s="15">
        <f t="shared" si="29"/>
        <v>182.9222270384094</v>
      </c>
      <c r="BV20" s="15">
        <f t="shared" si="29"/>
        <v>177.43456022725712</v>
      </c>
      <c r="BW20" s="15">
        <f t="shared" si="29"/>
        <v>172.1115234204394</v>
      </c>
      <c r="BX20" s="15">
        <f t="shared" si="29"/>
        <v>166.94817771782621</v>
      </c>
      <c r="BY20" s="15">
        <f t="shared" si="29"/>
        <v>161.93973238629141</v>
      </c>
      <c r="BZ20" s="15">
        <f t="shared" si="29"/>
        <v>157.08154041470266</v>
      </c>
      <c r="CA20" s="15">
        <f t="shared" si="29"/>
        <v>152.36909420226158</v>
      </c>
      <c r="CB20" s="15">
        <f t="shared" si="29"/>
        <v>147.79802137619373</v>
      </c>
      <c r="CC20" s="15">
        <f t="shared" si="29"/>
        <v>143.3640807349079</v>
      </c>
      <c r="CD20" s="15">
        <f t="shared" si="29"/>
        <v>139.06315831286065</v>
      </c>
      <c r="CE20" s="15">
        <f t="shared" si="29"/>
        <v>134.89126356347484</v>
      </c>
      <c r="CF20" s="15">
        <f t="shared" si="29"/>
        <v>130.8445256565706</v>
      </c>
      <c r="CG20" s="15">
        <f t="shared" si="29"/>
        <v>126.91918988687347</v>
      </c>
      <c r="CH20" s="15">
        <f t="shared" si="29"/>
        <v>123.11161419026726</v>
      </c>
      <c r="CI20" s="15">
        <f t="shared" si="29"/>
        <v>119.41826576455924</v>
      </c>
      <c r="CJ20" s="15">
        <f t="shared" si="29"/>
        <v>115.83571779162246</v>
      </c>
      <c r="CK20" s="15">
        <f t="shared" si="29"/>
        <v>112.36064625787378</v>
      </c>
      <c r="CL20" s="15">
        <f t="shared" si="29"/>
        <v>108.98982687013756</v>
      </c>
      <c r="CM20" s="15">
        <f t="shared" si="29"/>
        <v>105.72013206403344</v>
      </c>
      <c r="CN20" s="15">
        <f t="shared" si="29"/>
        <v>102.54852810211243</v>
      </c>
      <c r="CO20" s="15">
        <f t="shared" si="29"/>
        <v>99.472072259049057</v>
      </c>
      <c r="CP20" s="15">
        <f t="shared" si="29"/>
        <v>96.487910091277584</v>
      </c>
      <c r="CQ20" s="15">
        <f t="shared" si="29"/>
        <v>93.593272788539252</v>
      </c>
      <c r="CR20" s="15">
        <f t="shared" si="29"/>
        <v>90.785474604883078</v>
      </c>
      <c r="CS20" s="15">
        <f t="shared" si="29"/>
        <v>88.061910366736583</v>
      </c>
      <c r="CT20" s="15">
        <f t="shared" si="29"/>
        <v>85.420053055734485</v>
      </c>
      <c r="CU20" s="15">
        <f t="shared" si="29"/>
        <v>82.85745146406245</v>
      </c>
      <c r="CV20" s="15">
        <f t="shared" si="29"/>
        <v>80.371727920140572</v>
      </c>
      <c r="CW20" s="15">
        <f t="shared" ref="CW20:EF20" si="30">+CV20*(1+$AL$26)</f>
        <v>77.960576082536349</v>
      </c>
      <c r="CX20" s="15">
        <f t="shared" si="30"/>
        <v>75.621758800060263</v>
      </c>
      <c r="CY20" s="15">
        <f t="shared" si="30"/>
        <v>73.353106036058449</v>
      </c>
      <c r="CZ20" s="15">
        <f t="shared" si="30"/>
        <v>71.152512854976692</v>
      </c>
      <c r="DA20" s="15">
        <f t="shared" si="30"/>
        <v>69.017937469327393</v>
      </c>
      <c r="DB20" s="15">
        <f t="shared" si="30"/>
        <v>66.947399345247575</v>
      </c>
      <c r="DC20" s="15">
        <f t="shared" si="30"/>
        <v>64.93897736489015</v>
      </c>
      <c r="DD20" s="15">
        <f t="shared" si="30"/>
        <v>62.990808043943446</v>
      </c>
      <c r="DE20" s="15">
        <f t="shared" si="30"/>
        <v>61.101083802625141</v>
      </c>
      <c r="DF20" s="15">
        <f t="shared" si="30"/>
        <v>59.268051288546381</v>
      </c>
      <c r="DG20" s="15">
        <f t="shared" si="30"/>
        <v>57.490009749889985</v>
      </c>
      <c r="DH20" s="15">
        <f t="shared" si="30"/>
        <v>55.765309457393286</v>
      </c>
      <c r="DI20" s="15">
        <f t="shared" si="30"/>
        <v>54.092350173671484</v>
      </c>
      <c r="DJ20" s="15">
        <f t="shared" si="30"/>
        <v>52.469579668461336</v>
      </c>
      <c r="DK20" s="15">
        <f t="shared" si="30"/>
        <v>50.895492278407495</v>
      </c>
      <c r="DL20" s="15">
        <f t="shared" si="30"/>
        <v>49.368627510055269</v>
      </c>
      <c r="DM20" s="15">
        <f t="shared" si="30"/>
        <v>47.88756868475361</v>
      </c>
      <c r="DN20" s="15">
        <f t="shared" si="30"/>
        <v>46.450941624210998</v>
      </c>
      <c r="DO20" s="15">
        <f t="shared" si="30"/>
        <v>45.057413375484664</v>
      </c>
      <c r="DP20" s="15">
        <f t="shared" si="30"/>
        <v>43.705690974220126</v>
      </c>
      <c r="DQ20" s="15">
        <f t="shared" si="30"/>
        <v>42.394520244993522</v>
      </c>
      <c r="DR20" s="15">
        <f t="shared" si="30"/>
        <v>41.122684637643715</v>
      </c>
      <c r="DS20" s="15">
        <f t="shared" si="30"/>
        <v>39.889004098514405</v>
      </c>
      <c r="DT20" s="15">
        <f t="shared" si="30"/>
        <v>38.692333975558974</v>
      </c>
      <c r="DU20" s="15">
        <f t="shared" si="30"/>
        <v>37.531563956292203</v>
      </c>
      <c r="DV20" s="15">
        <f t="shared" si="30"/>
        <v>36.405617037603434</v>
      </c>
      <c r="DW20" s="15">
        <f t="shared" si="30"/>
        <v>35.313448526475334</v>
      </c>
      <c r="DX20" s="15">
        <f t="shared" si="30"/>
        <v>34.254045070681073</v>
      </c>
      <c r="DY20" s="15">
        <f t="shared" si="30"/>
        <v>33.226423718560639</v>
      </c>
      <c r="DZ20" s="15">
        <f t="shared" si="30"/>
        <v>32.229631007003817</v>
      </c>
      <c r="EA20" s="15">
        <f t="shared" si="30"/>
        <v>31.262742076793703</v>
      </c>
      <c r="EB20" s="15">
        <f t="shared" si="30"/>
        <v>30.324859814489891</v>
      </c>
      <c r="EC20" s="15">
        <f t="shared" si="30"/>
        <v>29.415114020055192</v>
      </c>
      <c r="ED20" s="15">
        <f t="shared" si="30"/>
        <v>28.532660599453536</v>
      </c>
      <c r="EE20" s="15">
        <f t="shared" si="30"/>
        <v>27.67668078146993</v>
      </c>
      <c r="EF20" s="15">
        <f t="shared" si="30"/>
        <v>26.846380358025833</v>
      </c>
    </row>
    <row r="21" spans="2:136" x14ac:dyDescent="0.2">
      <c r="B21" t="s">
        <v>25</v>
      </c>
      <c r="C21" s="7">
        <f t="shared" ref="C21:J21" si="31">+C20/C22</f>
        <v>-0.77954334410149106</v>
      </c>
      <c r="D21" s="7">
        <f t="shared" si="31"/>
        <v>-0.68004856734271701</v>
      </c>
      <c r="E21" s="7">
        <f t="shared" si="31"/>
        <v>-0.4891313055596811</v>
      </c>
      <c r="F21" s="7">
        <f t="shared" si="31"/>
        <v>-0.19189689124676429</v>
      </c>
      <c r="G21" s="7">
        <f t="shared" si="31"/>
        <v>-0.43272355907521498</v>
      </c>
      <c r="H21" s="7">
        <f t="shared" si="31"/>
        <v>-0.65405558118058349</v>
      </c>
      <c r="I21" s="7">
        <f t="shared" si="31"/>
        <v>-0.8689406955917589</v>
      </c>
      <c r="J21" s="7">
        <f t="shared" si="31"/>
        <v>0.30217453907362707</v>
      </c>
      <c r="K21" s="7">
        <f t="shared" ref="K21" si="32">+K20/K22</f>
        <v>3.0504566606572352E-2</v>
      </c>
      <c r="P21" s="7">
        <f>+P20/P22</f>
        <v>-1.9410541492303059</v>
      </c>
      <c r="Q21" s="7">
        <f>+Q20/Q22</f>
        <v>-2.6475729640344099</v>
      </c>
      <c r="R21" s="7">
        <f>+R20/R22</f>
        <v>-2.1300188131708078</v>
      </c>
      <c r="S21" s="7">
        <f>+S20/S22</f>
        <v>-1.5841869473917893</v>
      </c>
      <c r="T21" s="7">
        <f>+T20/T22</f>
        <v>-0.55125725367017853</v>
      </c>
      <c r="U21" s="7">
        <f t="shared" ref="U21:AI21" si="33">+U20/U22</f>
        <v>0.26786510532787106</v>
      </c>
      <c r="V21" s="7">
        <f t="shared" si="33"/>
        <v>1.2411723755297714</v>
      </c>
      <c r="W21" s="7">
        <f t="shared" si="33"/>
        <v>1.8164155982867489</v>
      </c>
      <c r="X21" s="7">
        <f t="shared" si="33"/>
        <v>1.9835593153295308</v>
      </c>
      <c r="Y21" s="7">
        <f t="shared" si="33"/>
        <v>2.5905001053980414</v>
      </c>
      <c r="Z21" s="7">
        <f t="shared" si="33"/>
        <v>3.2841811156218501</v>
      </c>
      <c r="AA21" s="7">
        <f t="shared" si="33"/>
        <v>4.0759516320043359</v>
      </c>
      <c r="AB21" s="7">
        <f t="shared" si="33"/>
        <v>4.9784090947485948</v>
      </c>
      <c r="AC21" s="7">
        <f t="shared" si="33"/>
        <v>6.005536778975185</v>
      </c>
      <c r="AD21" s="7">
        <f t="shared" si="33"/>
        <v>7.172855320040691</v>
      </c>
      <c r="AE21" s="7">
        <f t="shared" si="33"/>
        <v>7.34313787797897</v>
      </c>
      <c r="AF21" s="7">
        <f t="shared" si="33"/>
        <v>7.5322116907583494</v>
      </c>
      <c r="AG21" s="7">
        <f t="shared" si="33"/>
        <v>7.736015090811037</v>
      </c>
      <c r="AH21" s="7">
        <f t="shared" si="33"/>
        <v>7.9501395845088174</v>
      </c>
      <c r="AI21" s="7">
        <f t="shared" si="33"/>
        <v>8.1697506620319089</v>
      </c>
    </row>
    <row r="22" spans="2:136" x14ac:dyDescent="0.2">
      <c r="B22" t="s">
        <v>2</v>
      </c>
      <c r="C22" s="6">
        <v>57.724820999999999</v>
      </c>
      <c r="D22" s="6">
        <v>58.239958000000001</v>
      </c>
      <c r="E22" s="6">
        <v>58.730651000000002</v>
      </c>
      <c r="F22" s="6">
        <v>59.328735999999999</v>
      </c>
      <c r="G22" s="6">
        <v>59.888119000000003</v>
      </c>
      <c r="H22" s="6">
        <v>60.470396000000001</v>
      </c>
      <c r="I22" s="6">
        <v>61.065156999999999</v>
      </c>
      <c r="J22" s="6">
        <v>73.728911999999994</v>
      </c>
      <c r="K22" s="6">
        <v>74.021704</v>
      </c>
      <c r="P22" s="6">
        <v>55.270997999999999</v>
      </c>
      <c r="Q22" s="6">
        <v>55.270997999999999</v>
      </c>
      <c r="R22" s="6">
        <v>58.552064999999999</v>
      </c>
      <c r="S22" s="6">
        <v>60.756087000000001</v>
      </c>
      <c r="T22" s="2">
        <f>+S22*1.01</f>
        <v>61.363647870000001</v>
      </c>
      <c r="U22" s="2">
        <f t="shared" ref="U22:AI22" si="34">+T22*1.01</f>
        <v>61.977284348700003</v>
      </c>
      <c r="V22" s="2">
        <f t="shared" si="34"/>
        <v>62.597057192187002</v>
      </c>
      <c r="W22" s="2">
        <f t="shared" si="34"/>
        <v>63.22302776410887</v>
      </c>
      <c r="X22" s="2">
        <f t="shared" si="34"/>
        <v>63.855258041749963</v>
      </c>
      <c r="Y22" s="2">
        <f t="shared" si="34"/>
        <v>64.493810622167459</v>
      </c>
      <c r="Z22" s="2">
        <f t="shared" si="34"/>
        <v>65.138748728389132</v>
      </c>
      <c r="AA22" s="2">
        <f t="shared" si="34"/>
        <v>65.79013621567303</v>
      </c>
      <c r="AB22" s="2">
        <f t="shared" si="34"/>
        <v>66.448037577829766</v>
      </c>
      <c r="AC22" s="2">
        <f t="shared" si="34"/>
        <v>67.112517953608062</v>
      </c>
      <c r="AD22" s="2">
        <f t="shared" si="34"/>
        <v>67.783643133144139</v>
      </c>
      <c r="AE22" s="2">
        <f t="shared" si="34"/>
        <v>68.461479564475582</v>
      </c>
      <c r="AF22" s="2">
        <f t="shared" si="34"/>
        <v>69.146094360120344</v>
      </c>
      <c r="AG22" s="2">
        <f t="shared" si="34"/>
        <v>69.837555303721544</v>
      </c>
      <c r="AH22" s="2">
        <f t="shared" si="34"/>
        <v>70.535930856758753</v>
      </c>
      <c r="AI22" s="2">
        <f t="shared" si="34"/>
        <v>71.241290165326348</v>
      </c>
    </row>
    <row r="23" spans="2:136" x14ac:dyDescent="0.2">
      <c r="K23" s="6"/>
      <c r="P23" s="6"/>
      <c r="Q23" s="6"/>
      <c r="R23" s="6"/>
      <c r="S23" s="6"/>
    </row>
    <row r="24" spans="2:136" s="12" customFormat="1" x14ac:dyDescent="0.2">
      <c r="B24" s="12" t="s">
        <v>94</v>
      </c>
      <c r="C24" s="10">
        <f t="shared" ref="C24:H24" si="35">+C10/C7</f>
        <v>0.31649977126010265</v>
      </c>
      <c r="D24" s="10">
        <f t="shared" si="35"/>
        <v>0.29206055358155919</v>
      </c>
      <c r="E24" s="10">
        <f t="shared" si="35"/>
        <v>0.27663072852957071</v>
      </c>
      <c r="F24" s="10">
        <f t="shared" si="35"/>
        <v>0.23107779205221191</v>
      </c>
      <c r="G24" s="10">
        <f t="shared" si="35"/>
        <v>0.25301625776584014</v>
      </c>
      <c r="H24" s="10">
        <f t="shared" si="35"/>
        <v>0.26657634096900568</v>
      </c>
      <c r="I24" s="10">
        <f>+I10/I7</f>
        <v>0.20086198659243723</v>
      </c>
      <c r="J24" s="10">
        <f>+J10/J7</f>
        <v>0.193546972738079</v>
      </c>
      <c r="K24" s="10">
        <f>+K10/K7</f>
        <v>0.19985275547169445</v>
      </c>
      <c r="P24" s="10">
        <f t="shared" ref="P24:AI24" si="36">+P10/P7</f>
        <v>0.26384372736861034</v>
      </c>
      <c r="Q24" s="10">
        <f t="shared" si="36"/>
        <v>0.30029473070802609</v>
      </c>
      <c r="R24" s="10">
        <f t="shared" si="36"/>
        <v>0.27729486792111324</v>
      </c>
      <c r="S24" s="10">
        <f t="shared" si="36"/>
        <v>0.22730411324573394</v>
      </c>
      <c r="T24" s="10">
        <f t="shared" si="36"/>
        <v>0.2</v>
      </c>
      <c r="U24" s="10">
        <f t="shared" si="36"/>
        <v>0.2</v>
      </c>
      <c r="V24" s="10">
        <f t="shared" si="36"/>
        <v>0.2</v>
      </c>
      <c r="W24" s="10">
        <f t="shared" si="36"/>
        <v>0.2</v>
      </c>
      <c r="X24" s="10">
        <f t="shared" si="36"/>
        <v>0.2</v>
      </c>
      <c r="Y24" s="10">
        <f t="shared" si="36"/>
        <v>0.2</v>
      </c>
      <c r="Z24" s="10">
        <f t="shared" si="36"/>
        <v>0.2</v>
      </c>
      <c r="AA24" s="10">
        <f t="shared" si="36"/>
        <v>0.2</v>
      </c>
      <c r="AB24" s="10">
        <f t="shared" si="36"/>
        <v>0.2</v>
      </c>
      <c r="AC24" s="10">
        <f t="shared" si="36"/>
        <v>0.2</v>
      </c>
      <c r="AD24" s="10">
        <f t="shared" si="36"/>
        <v>0.2</v>
      </c>
      <c r="AE24" s="10">
        <f t="shared" si="36"/>
        <v>0.19999999999999998</v>
      </c>
      <c r="AF24" s="10">
        <f t="shared" si="36"/>
        <v>0.2</v>
      </c>
      <c r="AG24" s="10">
        <f t="shared" si="36"/>
        <v>0.2</v>
      </c>
      <c r="AH24" s="10">
        <f t="shared" si="36"/>
        <v>0.2</v>
      </c>
      <c r="AI24" s="10">
        <f t="shared" si="36"/>
        <v>0.2</v>
      </c>
    </row>
    <row r="25" spans="2:136" s="12" customFormat="1" x14ac:dyDescent="0.2">
      <c r="B25" s="12" t="s">
        <v>38</v>
      </c>
      <c r="C25" s="10">
        <f t="shared" ref="C25:I25" si="37">+C9/C7</f>
        <v>0.67411553906369137</v>
      </c>
      <c r="D25" s="10">
        <f t="shared" si="37"/>
        <v>0.67588307306440532</v>
      </c>
      <c r="E25" s="10">
        <f t="shared" si="37"/>
        <v>0.69362501066765292</v>
      </c>
      <c r="F25" s="10">
        <f t="shared" si="37"/>
        <v>0.70221542831433381</v>
      </c>
      <c r="G25" s="10">
        <f t="shared" si="37"/>
        <v>0.6942852151506218</v>
      </c>
      <c r="H25" s="10">
        <f t="shared" si="37"/>
        <v>0.69455210007247048</v>
      </c>
      <c r="I25" s="10">
        <f t="shared" si="37"/>
        <v>0.70916753418526179</v>
      </c>
      <c r="J25" s="10">
        <f>+J9/J7</f>
        <v>0.70892686634058899</v>
      </c>
      <c r="K25" s="10">
        <f>+K9/K7</f>
        <v>0.70305849313265179</v>
      </c>
      <c r="P25" s="12">
        <f>+P9/P7</f>
        <v>0.70468740127246132</v>
      </c>
      <c r="Q25" s="12">
        <f>+Q9/Q7</f>
        <v>0.68444763206849413</v>
      </c>
      <c r="R25" s="12">
        <f>+R9/R7</f>
        <v>0.68711966287296578</v>
      </c>
      <c r="S25" s="12">
        <f>+S9/S7</f>
        <v>0.7020201695497148</v>
      </c>
      <c r="T25" s="12">
        <f t="shared" ref="T25:AI25" si="38">+T9/T7</f>
        <v>0.71247560219709305</v>
      </c>
      <c r="U25" s="12">
        <f t="shared" si="38"/>
        <v>0.72256417755859859</v>
      </c>
      <c r="V25" s="12">
        <f t="shared" si="38"/>
        <v>0.73229876781970038</v>
      </c>
      <c r="W25" s="12">
        <f t="shared" si="38"/>
        <v>0.73229876781970027</v>
      </c>
      <c r="X25" s="12">
        <f t="shared" si="38"/>
        <v>0.73229876781970038</v>
      </c>
      <c r="Y25" s="12">
        <f t="shared" si="38"/>
        <v>0.73229876781970038</v>
      </c>
      <c r="Z25" s="12">
        <f t="shared" si="38"/>
        <v>0.73229876781970038</v>
      </c>
      <c r="AA25" s="12">
        <f t="shared" si="38"/>
        <v>0.73229876781970038</v>
      </c>
      <c r="AB25" s="12">
        <f t="shared" si="38"/>
        <v>0.73229876781970027</v>
      </c>
      <c r="AC25" s="12">
        <f t="shared" si="38"/>
        <v>0.73229876781970038</v>
      </c>
      <c r="AD25" s="12">
        <f t="shared" si="38"/>
        <v>0.73229876781970027</v>
      </c>
      <c r="AE25" s="12">
        <f t="shared" si="38"/>
        <v>0.71955109009682883</v>
      </c>
      <c r="AF25" s="12">
        <f t="shared" si="38"/>
        <v>0.70619638010143981</v>
      </c>
      <c r="AG25" s="12">
        <f t="shared" si="38"/>
        <v>0.69220573153484166</v>
      </c>
      <c r="AH25" s="12">
        <f t="shared" si="38"/>
        <v>0.67754886160792938</v>
      </c>
      <c r="AI25" s="12">
        <f t="shared" si="38"/>
        <v>0.66219404549402139</v>
      </c>
    </row>
    <row r="26" spans="2:136" s="12" customFormat="1" x14ac:dyDescent="0.2">
      <c r="B26" s="12" t="s">
        <v>39</v>
      </c>
      <c r="C26" s="10">
        <f t="shared" ref="C26:I26" si="39">+C14/C7</f>
        <v>-0.25656356427591098</v>
      </c>
      <c r="D26" s="10">
        <f t="shared" si="39"/>
        <v>-0.20692723418231768</v>
      </c>
      <c r="E26" s="10">
        <f t="shared" si="39"/>
        <v>-0.13219924330782573</v>
      </c>
      <c r="F26" s="10">
        <f t="shared" si="39"/>
        <v>-7.2360539682023384E-2</v>
      </c>
      <c r="G26" s="10">
        <f t="shared" si="39"/>
        <v>-0.13083188662146378</v>
      </c>
      <c r="H26" s="10">
        <f t="shared" si="39"/>
        <v>-0.12828349665479843</v>
      </c>
      <c r="I26" s="10">
        <f t="shared" si="39"/>
        <v>3.775843253219896E-2</v>
      </c>
      <c r="J26" s="10">
        <f>+J14/J7</f>
        <v>6.41259231833506E-2</v>
      </c>
      <c r="K26" s="10">
        <f>+K14/K7</f>
        <v>5.1525833613682938E-2</v>
      </c>
      <c r="P26" s="12">
        <f>+P14/P7</f>
        <v>-0.18007660041896911</v>
      </c>
      <c r="Q26" s="12">
        <f>+Q14/Q7</f>
        <v>-0.22425121963974856</v>
      </c>
      <c r="R26" s="12">
        <f>+R14/R7</f>
        <v>-0.16292040526476351</v>
      </c>
      <c r="S26" s="12">
        <f>+S14/S7</f>
        <v>-3.56458151977544E-2</v>
      </c>
      <c r="T26" s="12">
        <f t="shared" ref="T26:AI26" si="40">+T14/T7</f>
        <v>4.5257160506869176E-2</v>
      </c>
      <c r="U26" s="12">
        <f t="shared" si="40"/>
        <v>9.478292615645037E-2</v>
      </c>
      <c r="V26" s="12">
        <f t="shared" si="40"/>
        <v>0.14057266285774295</v>
      </c>
      <c r="W26" s="12">
        <f t="shared" si="40"/>
        <v>0.16049530511034923</v>
      </c>
      <c r="X26" s="12">
        <f t="shared" si="40"/>
        <v>0.17935841560900967</v>
      </c>
      <c r="Y26" s="12">
        <f t="shared" si="40"/>
        <v>0.19722135176843764</v>
      </c>
      <c r="Z26" s="12">
        <f t="shared" si="40"/>
        <v>0.21413995862046439</v>
      </c>
      <c r="AA26" s="12">
        <f t="shared" si="40"/>
        <v>0.2301667876909749</v>
      </c>
      <c r="AB26" s="12">
        <f t="shared" si="40"/>
        <v>0.245351301620753</v>
      </c>
      <c r="AC26" s="12">
        <f t="shared" si="40"/>
        <v>0.25974006549148709</v>
      </c>
      <c r="AD26" s="12">
        <f t="shared" si="40"/>
        <v>0.27337692575170947</v>
      </c>
      <c r="AE26" s="12">
        <f t="shared" si="40"/>
        <v>0.261841424126873</v>
      </c>
      <c r="AF26" s="12">
        <f t="shared" si="40"/>
        <v>0.24966425662671821</v>
      </c>
      <c r="AG26" s="12">
        <f t="shared" si="40"/>
        <v>0.23681750648406172</v>
      </c>
      <c r="AH26" s="12">
        <f t="shared" si="40"/>
        <v>0.2232718521689786</v>
      </c>
      <c r="AI26" s="12">
        <f t="shared" si="40"/>
        <v>0.2089965026494188</v>
      </c>
      <c r="AK26" s="12" t="s">
        <v>86</v>
      </c>
      <c r="AL26" s="12">
        <v>-0.03</v>
      </c>
    </row>
    <row r="27" spans="2:136" s="12" customFormat="1" x14ac:dyDescent="0.2">
      <c r="B27" s="12" t="s">
        <v>40</v>
      </c>
      <c r="C27" s="10">
        <f t="shared" ref="C27:I27" si="41">+C20/C7</f>
        <v>-0.28591851776546517</v>
      </c>
      <c r="D27" s="10">
        <f t="shared" si="41"/>
        <v>-0.23651727329730379</v>
      </c>
      <c r="E27" s="10">
        <f t="shared" si="41"/>
        <v>-0.16343982021449086</v>
      </c>
      <c r="F27" s="10">
        <f t="shared" si="41"/>
        <v>-6.1714341469760729E-2</v>
      </c>
      <c r="G27" s="10">
        <f t="shared" si="41"/>
        <v>-0.14147750226560543</v>
      </c>
      <c r="H27" s="10">
        <f t="shared" si="41"/>
        <v>-0.2077018411738141</v>
      </c>
      <c r="I27" s="10">
        <f t="shared" si="41"/>
        <v>-0.26685374893760383</v>
      </c>
      <c r="J27" s="10">
        <f>+J20/J7</f>
        <v>0.1085361576085898</v>
      </c>
      <c r="K27" s="10">
        <f>+K20/K7</f>
        <v>1.1009210096488965E-2</v>
      </c>
      <c r="P27" s="12">
        <f>+P20/P7</f>
        <v>-0.26072332959079997</v>
      </c>
      <c r="Q27" s="12">
        <f>+Q20/Q7</f>
        <v>-0.27331510410829946</v>
      </c>
      <c r="R27" s="12">
        <f>+R20/R7</f>
        <v>-0.1820465549429777</v>
      </c>
      <c r="S27" s="12">
        <f>+S20/S7</f>
        <v>-0.12375997644357063</v>
      </c>
      <c r="T27" s="12">
        <f t="shared" ref="T27:AI27" si="42">+T20/T7</f>
        <v>-3.8154399869937156E-2</v>
      </c>
      <c r="U27" s="12">
        <f t="shared" si="42"/>
        <v>1.642566549139662E-2</v>
      </c>
      <c r="V27" s="12">
        <f t="shared" si="42"/>
        <v>6.7430356492004045E-2</v>
      </c>
      <c r="W27" s="12">
        <f t="shared" si="42"/>
        <v>9.0608150576998281E-2</v>
      </c>
      <c r="X27" s="12">
        <f t="shared" si="42"/>
        <v>9.0850207560737514E-2</v>
      </c>
      <c r="Y27" s="12">
        <f t="shared" si="42"/>
        <v>0.10894142076597389</v>
      </c>
      <c r="Z27" s="12">
        <f t="shared" si="42"/>
        <v>0.12681341813761374</v>
      </c>
      <c r="AA27" s="12">
        <f t="shared" si="42"/>
        <v>0.14450930739172216</v>
      </c>
      <c r="AB27" s="12">
        <f t="shared" si="42"/>
        <v>0.16206381864327835</v>
      </c>
      <c r="AC27" s="12">
        <f t="shared" si="42"/>
        <v>0.17950477514344226</v>
      </c>
      <c r="AD27" s="12">
        <f t="shared" si="42"/>
        <v>0.19685431310148499</v>
      </c>
      <c r="AE27" s="12">
        <f t="shared" si="42"/>
        <v>0.19385036415457096</v>
      </c>
      <c r="AF27" s="12">
        <f t="shared" si="42"/>
        <v>0.19126677287528238</v>
      </c>
      <c r="AG27" s="12">
        <f t="shared" si="42"/>
        <v>0.18895848404827995</v>
      </c>
      <c r="AH27" s="12">
        <f t="shared" si="42"/>
        <v>0.18679098676943406</v>
      </c>
      <c r="AI27" s="12">
        <f t="shared" si="42"/>
        <v>0.18463840484040592</v>
      </c>
      <c r="AK27" s="12" t="s">
        <v>85</v>
      </c>
      <c r="AL27" s="12">
        <v>0.1</v>
      </c>
    </row>
    <row r="28" spans="2:136" s="12" customFormat="1" x14ac:dyDescent="0.2">
      <c r="B28" s="12" t="s">
        <v>41</v>
      </c>
      <c r="C28" s="10">
        <f t="shared" ref="C28:I28" si="43">+C19/C18</f>
        <v>-3.2963753644147574E-2</v>
      </c>
      <c r="D28" s="10">
        <f t="shared" si="43"/>
        <v>-9.3507543784275538E-4</v>
      </c>
      <c r="E28" s="10">
        <f t="shared" si="43"/>
        <v>-3.7375415282392035E-2</v>
      </c>
      <c r="F28" s="10">
        <f t="shared" si="43"/>
        <v>8.3616409720407708E-3</v>
      </c>
      <c r="G28" s="10">
        <f t="shared" si="43"/>
        <v>-2.3458789147348044E-2</v>
      </c>
      <c r="H28" s="10">
        <f t="shared" si="43"/>
        <v>-2.2465229305620168E-2</v>
      </c>
      <c r="I28" s="10">
        <f t="shared" si="43"/>
        <v>-4.083954491957633E-2</v>
      </c>
      <c r="J28" s="10">
        <f>+J19/J18</f>
        <v>-0.22304567413263049</v>
      </c>
      <c r="K28" s="10">
        <f>+K19/K18</f>
        <v>0.79808638111419239</v>
      </c>
      <c r="P28" s="12">
        <f>+P19/P18</f>
        <v>-0.10758493955380287</v>
      </c>
      <c r="Q28" s="12">
        <f>+Q19/Q18</f>
        <v>-7.667404884006683E-2</v>
      </c>
      <c r="R28" s="12">
        <f>+R19/R18</f>
        <v>-1.9721188831200689E-2</v>
      </c>
      <c r="S28" s="12">
        <f>+S19/S18</f>
        <v>5.3530645778002844E-3</v>
      </c>
      <c r="T28" s="12">
        <f t="shared" ref="T28:W28" si="44">+T19/T18</f>
        <v>0</v>
      </c>
      <c r="U28" s="12">
        <f t="shared" si="44"/>
        <v>0</v>
      </c>
      <c r="V28" s="12">
        <f t="shared" si="44"/>
        <v>0</v>
      </c>
      <c r="W28" s="12">
        <f t="shared" si="44"/>
        <v>0</v>
      </c>
      <c r="X28" s="12">
        <f>+X19/X18</f>
        <v>0.2</v>
      </c>
      <c r="Y28" s="12">
        <f t="shared" ref="Y28:AI28" si="45">+Y19/Y18</f>
        <v>0.2</v>
      </c>
      <c r="Z28" s="12">
        <f t="shared" si="45"/>
        <v>0.2</v>
      </c>
      <c r="AA28" s="12">
        <f t="shared" si="45"/>
        <v>0.2</v>
      </c>
      <c r="AB28" s="12">
        <f t="shared" si="45"/>
        <v>0.2</v>
      </c>
      <c r="AC28" s="12">
        <f t="shared" si="45"/>
        <v>0.2</v>
      </c>
      <c r="AD28" s="12">
        <f t="shared" si="45"/>
        <v>0.2</v>
      </c>
      <c r="AE28" s="12">
        <f t="shared" si="45"/>
        <v>0.2</v>
      </c>
      <c r="AF28" s="12">
        <f t="shared" si="45"/>
        <v>0.2</v>
      </c>
      <c r="AG28" s="12">
        <f t="shared" si="45"/>
        <v>0.19999999999999998</v>
      </c>
      <c r="AH28" s="12">
        <f t="shared" si="45"/>
        <v>0.2</v>
      </c>
      <c r="AI28" s="12">
        <f t="shared" si="45"/>
        <v>0.2</v>
      </c>
      <c r="AK28" s="12" t="s">
        <v>87</v>
      </c>
      <c r="AL28" s="2">
        <f>NPV(AL27,T20:EF20)</f>
        <v>2653.043423022481</v>
      </c>
    </row>
    <row r="29" spans="2:136" x14ac:dyDescent="0.2">
      <c r="J29" s="5"/>
      <c r="K29" s="5"/>
      <c r="AK29" s="12" t="s">
        <v>43</v>
      </c>
      <c r="AL29" s="2">
        <f>+S34</f>
        <v>-490.65199999999999</v>
      </c>
    </row>
    <row r="30" spans="2:136" s="14" customFormat="1" x14ac:dyDescent="0.2">
      <c r="B30" s="14" t="s">
        <v>42</v>
      </c>
      <c r="C30" s="11"/>
      <c r="D30" s="11"/>
      <c r="E30" s="11"/>
      <c r="F30" s="11"/>
      <c r="G30" s="11">
        <f>+G7/C7-1</f>
        <v>0.1638667208864939</v>
      </c>
      <c r="H30" s="11">
        <f>+H7/D7-1</f>
        <v>0.13715326505628367</v>
      </c>
      <c r="I30" s="11">
        <f>+I7/E7-1</f>
        <v>0.13130031576252388</v>
      </c>
      <c r="J30" s="11">
        <f>+J7/F7-1</f>
        <v>0.11269033331707146</v>
      </c>
      <c r="K30" s="11">
        <f>+K7/G7-1</f>
        <v>0.1197058534508173</v>
      </c>
      <c r="Q30" s="14">
        <f t="shared" ref="Q30:AI30" si="46">+Q7/P7-1</f>
        <v>0.30114754815473654</v>
      </c>
      <c r="R30" s="14">
        <f t="shared" si="46"/>
        <v>0.27956272272900451</v>
      </c>
      <c r="S30" s="14">
        <f t="shared" si="46"/>
        <v>0.13520113621269259</v>
      </c>
      <c r="T30" s="14">
        <f t="shared" si="46"/>
        <v>0.1399999999999999</v>
      </c>
      <c r="U30" s="14">
        <f t="shared" si="46"/>
        <v>0.1399999999999999</v>
      </c>
      <c r="V30" s="14">
        <f t="shared" si="46"/>
        <v>0.1399999999999999</v>
      </c>
      <c r="W30" s="14">
        <f t="shared" si="46"/>
        <v>0.10000000000000009</v>
      </c>
      <c r="X30" s="14">
        <f t="shared" si="46"/>
        <v>0.10000000000000009</v>
      </c>
      <c r="Y30" s="14">
        <f t="shared" si="46"/>
        <v>0.10000000000000009</v>
      </c>
      <c r="Z30" s="14">
        <f t="shared" si="46"/>
        <v>0.10000000000000009</v>
      </c>
      <c r="AA30" s="14">
        <f t="shared" si="46"/>
        <v>0.10000000000000009</v>
      </c>
      <c r="AB30" s="14">
        <f t="shared" si="46"/>
        <v>0.10000000000000009</v>
      </c>
      <c r="AC30" s="14">
        <f t="shared" si="46"/>
        <v>0.10000000000000009</v>
      </c>
      <c r="AD30" s="14">
        <f t="shared" si="46"/>
        <v>0.10000000000000009</v>
      </c>
      <c r="AE30" s="14">
        <f t="shared" si="46"/>
        <v>5.0000000000000044E-2</v>
      </c>
      <c r="AF30" s="14">
        <f t="shared" si="46"/>
        <v>5.0000000000000044E-2</v>
      </c>
      <c r="AG30" s="14">
        <f t="shared" si="46"/>
        <v>5.0000000000000044E-2</v>
      </c>
      <c r="AH30" s="14">
        <f t="shared" si="46"/>
        <v>5.0000000000000044E-2</v>
      </c>
      <c r="AI30" s="14">
        <f t="shared" si="46"/>
        <v>5.0000000000000044E-2</v>
      </c>
      <c r="AK30" s="12" t="s">
        <v>88</v>
      </c>
      <c r="AL30" s="15">
        <f>+AL28+AL29</f>
        <v>2162.3914230224809</v>
      </c>
    </row>
    <row r="31" spans="2:136" s="12" customFormat="1" x14ac:dyDescent="0.2">
      <c r="B31" s="12" t="s">
        <v>82</v>
      </c>
      <c r="C31" s="10"/>
      <c r="D31" s="10"/>
      <c r="E31" s="10"/>
      <c r="F31" s="10"/>
      <c r="G31" s="10">
        <f t="shared" ref="G31:K32" si="47">+G11/C11-1</f>
        <v>7.2405716871157599E-2</v>
      </c>
      <c r="H31" s="10">
        <f t="shared" si="47"/>
        <v>6.4100263987492578E-2</v>
      </c>
      <c r="I31" s="10">
        <f t="shared" si="47"/>
        <v>-3.5409646166807418E-3</v>
      </c>
      <c r="J31" s="10">
        <f t="shared" si="47"/>
        <v>-6.3211561314064468E-2</v>
      </c>
      <c r="K31" s="10">
        <f t="shared" si="47"/>
        <v>-9.6566443719210193E-2</v>
      </c>
      <c r="Q31" s="12">
        <f t="shared" ref="Q31:AI31" si="48">+Q11/P11-1</f>
        <v>0.26263770467545333</v>
      </c>
      <c r="R31" s="12">
        <f t="shared" si="48"/>
        <v>0.24229247574286839</v>
      </c>
      <c r="S31" s="12">
        <f t="shared" si="48"/>
        <v>1.7003405885969602E-2</v>
      </c>
      <c r="T31" s="12">
        <f t="shared" si="48"/>
        <v>5.0000000000000044E-2</v>
      </c>
      <c r="U31" s="12">
        <f t="shared" si="48"/>
        <v>5.0000000000000044E-2</v>
      </c>
      <c r="V31" s="12">
        <f t="shared" si="48"/>
        <v>5.0000000000000044E-2</v>
      </c>
      <c r="W31" s="12">
        <f t="shared" si="48"/>
        <v>5.0000000000000044E-2</v>
      </c>
      <c r="X31" s="12">
        <f t="shared" si="48"/>
        <v>5.0000000000000044E-2</v>
      </c>
      <c r="Y31" s="12">
        <f t="shared" si="48"/>
        <v>5.0000000000000044E-2</v>
      </c>
      <c r="Z31" s="12">
        <f t="shared" si="48"/>
        <v>5.0000000000000044E-2</v>
      </c>
      <c r="AA31" s="12">
        <f t="shared" si="48"/>
        <v>5.0000000000000044E-2</v>
      </c>
      <c r="AB31" s="12">
        <f t="shared" si="48"/>
        <v>5.0000000000000044E-2</v>
      </c>
      <c r="AC31" s="12">
        <f t="shared" si="48"/>
        <v>5.0000000000000044E-2</v>
      </c>
      <c r="AD31" s="12">
        <f t="shared" si="48"/>
        <v>5.0000000000000044E-2</v>
      </c>
      <c r="AE31" s="12">
        <f t="shared" si="48"/>
        <v>5.0000000000000044E-2</v>
      </c>
      <c r="AF31" s="12">
        <f t="shared" si="48"/>
        <v>5.0000000000000044E-2</v>
      </c>
      <c r="AG31" s="12">
        <f t="shared" si="48"/>
        <v>5.0000000000000044E-2</v>
      </c>
      <c r="AH31" s="12">
        <f t="shared" si="48"/>
        <v>5.0000000000000044E-2</v>
      </c>
      <c r="AI31" s="12">
        <f t="shared" si="48"/>
        <v>5.0000000000000044E-2</v>
      </c>
      <c r="AK31" s="12" t="s">
        <v>89</v>
      </c>
      <c r="AL31" s="16">
        <f>+AL30/Main!L4</f>
        <v>29.212937640863831</v>
      </c>
    </row>
    <row r="32" spans="2:136" s="12" customFormat="1" x14ac:dyDescent="0.2">
      <c r="B32" s="12" t="s">
        <v>83</v>
      </c>
      <c r="C32" s="10"/>
      <c r="D32" s="10"/>
      <c r="E32" s="10"/>
      <c r="F32" s="10"/>
      <c r="G32" s="10">
        <f t="shared" si="47"/>
        <v>0.12506971556051316</v>
      </c>
      <c r="H32" s="10">
        <f t="shared" si="47"/>
        <v>9.5643848731450598E-2</v>
      </c>
      <c r="I32" s="10">
        <f t="shared" si="47"/>
        <v>-0.13107339137201501</v>
      </c>
      <c r="J32" s="10">
        <f t="shared" si="47"/>
        <v>-0.12221060764441216</v>
      </c>
      <c r="K32" s="10">
        <f t="shared" si="47"/>
        <v>-0.18060891477671748</v>
      </c>
      <c r="Q32" s="12">
        <f t="shared" ref="Q32:AI32" si="49">+Q12/P12-1</f>
        <v>0.3153614812076817</v>
      </c>
      <c r="R32" s="12">
        <f t="shared" si="49"/>
        <v>8.5324885999310096E-2</v>
      </c>
      <c r="S32" s="12">
        <f t="shared" si="49"/>
        <v>-8.1559156868975524E-3</v>
      </c>
      <c r="T32" s="12">
        <f t="shared" si="49"/>
        <v>2.0000000000000018E-2</v>
      </c>
      <c r="U32" s="12">
        <f t="shared" si="49"/>
        <v>2.0000000000000018E-2</v>
      </c>
      <c r="V32" s="12">
        <f t="shared" si="49"/>
        <v>2.0000000000000018E-2</v>
      </c>
      <c r="W32" s="12">
        <f t="shared" si="49"/>
        <v>2.0000000000000018E-2</v>
      </c>
      <c r="X32" s="12">
        <f t="shared" si="49"/>
        <v>2.0000000000000018E-2</v>
      </c>
      <c r="Y32" s="12">
        <f t="shared" si="49"/>
        <v>2.0000000000000018E-2</v>
      </c>
      <c r="Z32" s="12">
        <f t="shared" si="49"/>
        <v>2.0000000000000018E-2</v>
      </c>
      <c r="AA32" s="12">
        <f t="shared" si="49"/>
        <v>2.0000000000000018E-2</v>
      </c>
      <c r="AB32" s="12">
        <f t="shared" si="49"/>
        <v>2.0000000000000018E-2</v>
      </c>
      <c r="AC32" s="12">
        <f t="shared" si="49"/>
        <v>2.0000000000000018E-2</v>
      </c>
      <c r="AD32" s="12">
        <f t="shared" si="49"/>
        <v>2.0000000000000018E-2</v>
      </c>
      <c r="AE32" s="12">
        <f t="shared" si="49"/>
        <v>2.0000000000000018E-2</v>
      </c>
      <c r="AF32" s="12">
        <f t="shared" si="49"/>
        <v>2.0000000000000018E-2</v>
      </c>
      <c r="AG32" s="12">
        <f t="shared" si="49"/>
        <v>2.0000000000000018E-2</v>
      </c>
      <c r="AH32" s="12">
        <f t="shared" si="49"/>
        <v>2.0000000000000018E-2</v>
      </c>
      <c r="AI32" s="12">
        <f t="shared" si="49"/>
        <v>2.0000000000000018E-2</v>
      </c>
      <c r="AK32" s="12" t="s">
        <v>90</v>
      </c>
      <c r="AL32" s="16">
        <f>+Main!L3</f>
        <v>39</v>
      </c>
    </row>
    <row r="33" spans="2:38" x14ac:dyDescent="0.2">
      <c r="AK33" s="12" t="s">
        <v>95</v>
      </c>
      <c r="AL33" s="12">
        <f>+AL31/AL32-1</f>
        <v>-0.25095031690092739</v>
      </c>
    </row>
    <row r="34" spans="2:38" x14ac:dyDescent="0.2">
      <c r="B34" t="s">
        <v>43</v>
      </c>
      <c r="E34" s="6">
        <f t="shared" ref="E34:J34" si="50">+E35-E48</f>
        <v>-514.74299999999994</v>
      </c>
      <c r="F34" s="6">
        <f t="shared" si="50"/>
        <v>-514.74299999999994</v>
      </c>
      <c r="G34" s="6">
        <f t="shared" si="50"/>
        <v>-547.31099999999992</v>
      </c>
      <c r="H34" s="6">
        <f t="shared" si="50"/>
        <v>-521.93399999999997</v>
      </c>
      <c r="I34" s="6">
        <f t="shared" si="50"/>
        <v>-556.12800000000004</v>
      </c>
      <c r="J34" s="6">
        <f t="shared" si="50"/>
        <v>-490.65199999999999</v>
      </c>
      <c r="K34" s="6">
        <f t="shared" ref="K34" si="51">+K35-K48</f>
        <v>-466.83</v>
      </c>
      <c r="S34" s="2">
        <f>+J34</f>
        <v>-490.65199999999999</v>
      </c>
      <c r="T34" s="2">
        <f t="shared" ref="T34:AI34" si="52">+T20+S34</f>
        <v>-524.4791560000001</v>
      </c>
      <c r="U34" s="2">
        <f t="shared" si="52"/>
        <v>-507.87760420000018</v>
      </c>
      <c r="V34" s="2">
        <f t="shared" si="52"/>
        <v>-430.18386602360044</v>
      </c>
      <c r="W34" s="2">
        <f t="shared" si="52"/>
        <v>-315.34457222195692</v>
      </c>
      <c r="X34" s="2">
        <f t="shared" si="52"/>
        <v>-188.68388030047285</v>
      </c>
      <c r="Y34" s="2">
        <f t="shared" si="52"/>
        <v>-21.612657086226733</v>
      </c>
      <c r="Z34" s="2">
        <f t="shared" si="52"/>
        <v>192.31479138278564</v>
      </c>
      <c r="AA34" s="2">
        <f t="shared" si="52"/>
        <v>460.47220446084572</v>
      </c>
      <c r="AB34" s="2">
        <f t="shared" si="52"/>
        <v>791.2777190665098</v>
      </c>
      <c r="AC34" s="2">
        <f t="shared" si="52"/>
        <v>1194.3244139665353</v>
      </c>
      <c r="AD34" s="2">
        <f t="shared" si="52"/>
        <v>1680.5266792258478</v>
      </c>
      <c r="AE34" s="2">
        <f t="shared" si="52"/>
        <v>2183.2487629982315</v>
      </c>
      <c r="AF34" s="2">
        <f t="shared" si="52"/>
        <v>2704.0717833078097</v>
      </c>
      <c r="AG34" s="2">
        <f t="shared" si="52"/>
        <v>3244.3361650427501</v>
      </c>
      <c r="AH34" s="2">
        <f t="shared" si="52"/>
        <v>3805.106661077245</v>
      </c>
      <c r="AI34" s="2">
        <f t="shared" si="52"/>
        <v>4387.1302385694271</v>
      </c>
    </row>
    <row r="35" spans="2:38" x14ac:dyDescent="0.2">
      <c r="B35" t="s">
        <v>4</v>
      </c>
      <c r="E35" s="6">
        <f>207.287+84.162+9.756</f>
        <v>301.20500000000004</v>
      </c>
      <c r="F35" s="6">
        <f>207.287+84.162+9.756</f>
        <v>301.20500000000004</v>
      </c>
      <c r="G35" s="6">
        <f>205.757+56.483+7.343</f>
        <v>269.58300000000003</v>
      </c>
      <c r="H35" s="6">
        <f>185.929+107.573+2.437</f>
        <v>295.93900000000002</v>
      </c>
      <c r="I35" s="6">
        <f>182.727+139.434+50.603</f>
        <v>372.76400000000001</v>
      </c>
      <c r="J35" s="6">
        <f>213.629+169.544+56.171</f>
        <v>439.34399999999999</v>
      </c>
      <c r="K35" s="6">
        <f>198.716+213.001+52.454</f>
        <v>464.17099999999999</v>
      </c>
    </row>
    <row r="36" spans="2:38" x14ac:dyDescent="0.2">
      <c r="B36" t="s">
        <v>44</v>
      </c>
      <c r="E36" s="6">
        <v>152.04499999999999</v>
      </c>
      <c r="F36" s="6">
        <v>152.04499999999999</v>
      </c>
      <c r="G36" s="6">
        <v>116.68300000000001</v>
      </c>
      <c r="H36" s="6">
        <v>136.30000000000001</v>
      </c>
      <c r="I36" s="6">
        <v>137.69</v>
      </c>
      <c r="J36" s="6">
        <v>164.86199999999999</v>
      </c>
      <c r="K36" s="6">
        <v>124.595</v>
      </c>
    </row>
    <row r="37" spans="2:38" x14ac:dyDescent="0.2">
      <c r="B37" t="s">
        <v>45</v>
      </c>
      <c r="E37" s="6">
        <f>34.906+68.169</f>
        <v>103.07499999999999</v>
      </c>
      <c r="F37" s="6">
        <f>34.906+68.169</f>
        <v>103.07499999999999</v>
      </c>
      <c r="G37" s="6">
        <f>36.171+69.144</f>
        <v>105.315</v>
      </c>
      <c r="H37" s="6">
        <f>38.661+70.377</f>
        <v>109.038</v>
      </c>
      <c r="I37" s="6">
        <f>40.909+71.654</f>
        <v>112.56299999999999</v>
      </c>
      <c r="J37" s="6">
        <f>45.008+76.601</f>
        <v>121.60900000000001</v>
      </c>
      <c r="K37" s="6">
        <v>47.003</v>
      </c>
    </row>
    <row r="38" spans="2:38" x14ac:dyDescent="0.2">
      <c r="B38" t="s">
        <v>46</v>
      </c>
      <c r="E38" s="6">
        <v>31.907</v>
      </c>
      <c r="F38" s="6">
        <v>31.907</v>
      </c>
      <c r="G38" s="6">
        <v>39.527000000000001</v>
      </c>
      <c r="H38" s="6">
        <v>56.463000000000001</v>
      </c>
      <c r="I38" s="6">
        <v>35.087000000000003</v>
      </c>
      <c r="J38" s="6">
        <v>41.406999999999996</v>
      </c>
      <c r="K38" s="6">
        <v>42.552</v>
      </c>
    </row>
    <row r="39" spans="2:38" x14ac:dyDescent="0.2">
      <c r="B39" t="s">
        <v>48</v>
      </c>
      <c r="E39" s="6">
        <v>57.890999999999998</v>
      </c>
      <c r="F39" s="6">
        <v>57.890999999999998</v>
      </c>
      <c r="G39" s="6">
        <v>56.637999999999998</v>
      </c>
      <c r="H39" s="6">
        <v>47.103999999999999</v>
      </c>
      <c r="I39" s="6">
        <v>42.448999999999998</v>
      </c>
      <c r="J39" s="6">
        <v>39.642000000000003</v>
      </c>
      <c r="K39" s="6">
        <v>37.265999999999998</v>
      </c>
    </row>
    <row r="40" spans="2:38" x14ac:dyDescent="0.2">
      <c r="B40" t="s">
        <v>53</v>
      </c>
      <c r="E40" s="6">
        <v>79.341999999999999</v>
      </c>
      <c r="F40" s="6">
        <v>79.341999999999999</v>
      </c>
      <c r="G40" s="6">
        <v>77.42</v>
      </c>
      <c r="H40" s="6">
        <v>56.817</v>
      </c>
      <c r="I40" s="6">
        <v>53.274999999999999</v>
      </c>
      <c r="J40" s="6">
        <v>54.692999999999998</v>
      </c>
      <c r="K40" s="6">
        <v>53.036000000000001</v>
      </c>
    </row>
    <row r="41" spans="2:38" x14ac:dyDescent="0.2">
      <c r="B41" t="s">
        <v>49</v>
      </c>
      <c r="E41" s="6">
        <f>536.351+94.546</f>
        <v>630.89700000000005</v>
      </c>
      <c r="F41" s="6">
        <f>536.351+94.546</f>
        <v>630.89700000000005</v>
      </c>
      <c r="G41" s="6">
        <f>538.037+111.432</f>
        <v>649.46900000000005</v>
      </c>
      <c r="H41" s="6">
        <f>536.326+104.698</f>
        <v>641.024</v>
      </c>
      <c r="I41" s="6">
        <f>536.305+99.993</f>
        <v>636.298</v>
      </c>
      <c r="J41" s="6">
        <f>536.351+94.546</f>
        <v>630.89700000000005</v>
      </c>
      <c r="K41" s="6">
        <f>536.351+88.844</f>
        <v>625.19499999999994</v>
      </c>
    </row>
    <row r="42" spans="2:38" x14ac:dyDescent="0.2">
      <c r="B42" t="s">
        <v>64</v>
      </c>
      <c r="E42" s="6">
        <f>515.631+101.269</f>
        <v>616.9</v>
      </c>
      <c r="F42" s="6">
        <f>515.631+101.269</f>
        <v>616.9</v>
      </c>
      <c r="G42" s="6">
        <v>14.824</v>
      </c>
      <c r="H42" s="6">
        <v>12.974</v>
      </c>
      <c r="I42" s="6">
        <v>9.1739999999999995</v>
      </c>
      <c r="J42" s="6">
        <v>12.894</v>
      </c>
      <c r="K42" s="6">
        <v>19.367999999999999</v>
      </c>
    </row>
    <row r="43" spans="2:38" s="8" customFormat="1" x14ac:dyDescent="0.2">
      <c r="B43" s="8" t="s">
        <v>50</v>
      </c>
      <c r="C43" s="9"/>
      <c r="D43" s="9"/>
      <c r="E43" s="9">
        <f t="shared" ref="E43:J43" si="53">SUM(E35:E42)</f>
        <v>1973.2620000000002</v>
      </c>
      <c r="F43" s="9">
        <f t="shared" si="53"/>
        <v>1973.2620000000002</v>
      </c>
      <c r="G43" s="9">
        <f t="shared" si="53"/>
        <v>1329.4590000000003</v>
      </c>
      <c r="H43" s="9">
        <f t="shared" si="53"/>
        <v>1355.6589999999999</v>
      </c>
      <c r="I43" s="9">
        <f t="shared" si="53"/>
        <v>1399.3</v>
      </c>
      <c r="J43" s="9">
        <f t="shared" si="53"/>
        <v>1505.3480000000002</v>
      </c>
      <c r="K43" s="9">
        <f t="shared" ref="K43" si="54">SUM(K35:K42)</f>
        <v>1413.1859999999999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2:38" x14ac:dyDescent="0.2">
      <c r="B44" t="s">
        <v>51</v>
      </c>
      <c r="E44" s="6">
        <v>10.255000000000001</v>
      </c>
      <c r="F44" s="6">
        <v>10.255000000000001</v>
      </c>
      <c r="G44" s="6">
        <v>8.4749999999999996</v>
      </c>
      <c r="H44" s="6">
        <v>8.9890000000000008</v>
      </c>
      <c r="I44" s="6">
        <v>8.9510000000000005</v>
      </c>
      <c r="J44" s="6">
        <v>15.811999999999999</v>
      </c>
      <c r="K44" s="6">
        <v>11.516</v>
      </c>
    </row>
    <row r="45" spans="2:38" x14ac:dyDescent="0.2">
      <c r="B45" t="s">
        <v>52</v>
      </c>
      <c r="E45" s="6">
        <v>80.305999999999997</v>
      </c>
      <c r="F45" s="6">
        <v>80.305999999999997</v>
      </c>
      <c r="G45" s="6">
        <v>57.545000000000002</v>
      </c>
      <c r="H45" s="6">
        <v>69.456000000000003</v>
      </c>
      <c r="I45" s="6">
        <v>63.387999999999998</v>
      </c>
      <c r="J45" s="6">
        <v>84.489000000000004</v>
      </c>
      <c r="K45" s="6">
        <v>60.604999999999997</v>
      </c>
    </row>
    <row r="46" spans="2:38" x14ac:dyDescent="0.2">
      <c r="B46" t="s">
        <v>53</v>
      </c>
      <c r="E46" s="6">
        <f>12.444+85.946</f>
        <v>98.39</v>
      </c>
      <c r="F46" s="6">
        <f>12.444+85.946</f>
        <v>98.39</v>
      </c>
      <c r="G46" s="6">
        <f>12.853+84.114</f>
        <v>96.966999999999999</v>
      </c>
      <c r="H46" s="6">
        <f>12.119+84.751</f>
        <v>96.87</v>
      </c>
      <c r="I46" s="6">
        <f>12.472+81.065</f>
        <v>93.536999999999992</v>
      </c>
      <c r="J46" s="6">
        <f>13.452+81.13</f>
        <v>94.581999999999994</v>
      </c>
      <c r="K46" s="6">
        <f>14.257+77.069</f>
        <v>91.326000000000008</v>
      </c>
    </row>
    <row r="47" spans="2:38" x14ac:dyDescent="0.2">
      <c r="B47" t="s">
        <v>21</v>
      </c>
      <c r="E47" s="6">
        <f>1.663+14.864</f>
        <v>16.527000000000001</v>
      </c>
      <c r="F47" s="6">
        <f>1.663+14.864</f>
        <v>16.527000000000001</v>
      </c>
      <c r="G47" s="6">
        <f>0.809+13.364</f>
        <v>14.173</v>
      </c>
      <c r="H47" s="6">
        <f>0.562+13.542</f>
        <v>14.103999999999999</v>
      </c>
      <c r="I47" s="6">
        <f>0.888+14.047</f>
        <v>14.935</v>
      </c>
      <c r="J47" s="6">
        <f>0.536+10.032</f>
        <v>10.568</v>
      </c>
      <c r="K47" s="6">
        <v>13.58</v>
      </c>
    </row>
    <row r="48" spans="2:38" x14ac:dyDescent="0.2">
      <c r="B48" t="s">
        <v>5</v>
      </c>
      <c r="E48" s="6">
        <v>815.94799999999998</v>
      </c>
      <c r="F48" s="6">
        <v>815.94799999999998</v>
      </c>
      <c r="G48" s="6">
        <v>816.89400000000001</v>
      </c>
      <c r="H48" s="6">
        <v>817.87300000000005</v>
      </c>
      <c r="I48" s="6">
        <v>928.89200000000005</v>
      </c>
      <c r="J48" s="6">
        <v>929.99599999999998</v>
      </c>
      <c r="K48" s="6">
        <v>931.00099999999998</v>
      </c>
    </row>
    <row r="49" spans="2:35" x14ac:dyDescent="0.2">
      <c r="B49" t="s">
        <v>54</v>
      </c>
      <c r="E49" s="6">
        <f>426.599+31.04</f>
        <v>457.63900000000001</v>
      </c>
      <c r="F49" s="6">
        <f>426.599+31.04</f>
        <v>457.63900000000001</v>
      </c>
      <c r="G49" s="6">
        <f>413.992+31.585</f>
        <v>445.577</v>
      </c>
      <c r="H49" s="6">
        <f>429.328+30.064</f>
        <v>459.392</v>
      </c>
      <c r="I49" s="6">
        <f>421.898+29.344</f>
        <v>451.24200000000002</v>
      </c>
      <c r="J49" s="6">
        <f>455.503+32.577</f>
        <v>488.08</v>
      </c>
      <c r="K49" s="6">
        <f>437.687+29.207</f>
        <v>466.89400000000001</v>
      </c>
    </row>
    <row r="50" spans="2:35" s="8" customFormat="1" x14ac:dyDescent="0.2">
      <c r="B50" s="8" t="s">
        <v>55</v>
      </c>
      <c r="C50" s="9"/>
      <c r="D50" s="9"/>
      <c r="E50" s="9">
        <f t="shared" ref="E50:J50" si="55">SUM(E44:E49)</f>
        <v>1479.0650000000001</v>
      </c>
      <c r="F50" s="9">
        <f t="shared" si="55"/>
        <v>1479.0650000000001</v>
      </c>
      <c r="G50" s="9">
        <f t="shared" si="55"/>
        <v>1439.6309999999999</v>
      </c>
      <c r="H50" s="9">
        <f t="shared" si="55"/>
        <v>1466.684</v>
      </c>
      <c r="I50" s="9">
        <f t="shared" si="55"/>
        <v>1560.9449999999999</v>
      </c>
      <c r="J50" s="9">
        <f t="shared" si="55"/>
        <v>1623.5269999999998</v>
      </c>
      <c r="K50" s="9">
        <f t="shared" ref="K50" si="56">SUM(K44:K49)</f>
        <v>1574.922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2:35" x14ac:dyDescent="0.2">
      <c r="B51" t="s">
        <v>56</v>
      </c>
      <c r="E51" s="6">
        <f t="shared" ref="E51:J51" si="57">+E43-E50</f>
        <v>494.19700000000012</v>
      </c>
      <c r="F51" s="6">
        <f t="shared" si="57"/>
        <v>494.19700000000012</v>
      </c>
      <c r="G51" s="6">
        <f t="shared" si="57"/>
        <v>-110.17199999999957</v>
      </c>
      <c r="H51" s="6">
        <f t="shared" si="57"/>
        <v>-111.02500000000009</v>
      </c>
      <c r="I51" s="6">
        <f t="shared" si="57"/>
        <v>-161.64499999999998</v>
      </c>
      <c r="J51" s="6">
        <f t="shared" si="57"/>
        <v>-118.17899999999963</v>
      </c>
      <c r="K51" s="6">
        <f t="shared" ref="K51" si="58">+K43-K50</f>
        <v>-161.7360000000001</v>
      </c>
    </row>
    <row r="52" spans="2:35" x14ac:dyDescent="0.2">
      <c r="B52" t="s">
        <v>57</v>
      </c>
      <c r="E52" s="6">
        <f t="shared" ref="E52:J52" si="59">+E51+E50</f>
        <v>1973.2620000000002</v>
      </c>
      <c r="F52" s="6">
        <f t="shared" si="59"/>
        <v>1973.2620000000002</v>
      </c>
      <c r="G52" s="6">
        <f t="shared" si="59"/>
        <v>1329.4590000000003</v>
      </c>
      <c r="H52" s="6">
        <f t="shared" si="59"/>
        <v>1355.6589999999999</v>
      </c>
      <c r="I52" s="6">
        <f t="shared" si="59"/>
        <v>1399.3</v>
      </c>
      <c r="J52" s="6">
        <f t="shared" si="59"/>
        <v>1505.3480000000002</v>
      </c>
      <c r="K52" s="6">
        <f t="shared" ref="K52" si="60">+K51+K50</f>
        <v>1413.1859999999999</v>
      </c>
    </row>
    <row r="53" spans="2:35" x14ac:dyDescent="0.2">
      <c r="K53" s="6"/>
    </row>
    <row r="54" spans="2:35" x14ac:dyDescent="0.2">
      <c r="B54" t="s">
        <v>91</v>
      </c>
      <c r="F54" s="6">
        <f t="shared" ref="F54:J54" si="61">+SUM(C20:F20)</f>
        <v>-124.71699999999997</v>
      </c>
      <c r="G54" s="6">
        <f t="shared" si="61"/>
        <v>-105.633</v>
      </c>
      <c r="H54" s="6">
        <f t="shared" si="61"/>
        <v>-105.57800000000002</v>
      </c>
      <c r="I54" s="6">
        <f t="shared" si="61"/>
        <v>-129.91299999999998</v>
      </c>
      <c r="J54" s="6">
        <f t="shared" si="61"/>
        <v>-96.248999999999981</v>
      </c>
      <c r="K54" s="6">
        <f>+SUM(H20:K20)</f>
        <v>-68.076000000000008</v>
      </c>
    </row>
    <row r="55" spans="2:35" s="12" customFormat="1" x14ac:dyDescent="0.2">
      <c r="B55" s="12" t="s">
        <v>84</v>
      </c>
      <c r="C55" s="10"/>
      <c r="D55" s="10"/>
      <c r="E55" s="10"/>
      <c r="F55" s="10">
        <f t="shared" ref="F55:J55" si="62">+F54/(F36+F37+F38+F39+F40+F42)</f>
        <v>-0.11978658419455222</v>
      </c>
      <c r="G55" s="10">
        <f t="shared" si="62"/>
        <v>-0.25738596076577641</v>
      </c>
      <c r="H55" s="10">
        <f t="shared" si="62"/>
        <v>-0.25215908439536083</v>
      </c>
      <c r="I55" s="10">
        <f t="shared" si="62"/>
        <v>-0.332907097719853</v>
      </c>
      <c r="J55" s="10">
        <f t="shared" si="62"/>
        <v>-0.22120765696713679</v>
      </c>
      <c r="K55" s="10">
        <f>+K54/(K36+K37+K38+K39+K40+K42)</f>
        <v>-0.21022790439132855</v>
      </c>
    </row>
    <row r="57" spans="2:35" x14ac:dyDescent="0.2">
      <c r="B57" t="s">
        <v>58</v>
      </c>
      <c r="C57" s="6">
        <f t="shared" ref="C57:K57" si="63">+C20</f>
        <v>-44.998999999999974</v>
      </c>
      <c r="D57" s="6">
        <f t="shared" si="63"/>
        <v>-39.606000000000009</v>
      </c>
      <c r="E57" s="6">
        <f t="shared" si="63"/>
        <v>-28.72699999999999</v>
      </c>
      <c r="F57" s="6">
        <f t="shared" si="63"/>
        <v>-11.384999999999989</v>
      </c>
      <c r="G57" s="6">
        <f t="shared" si="63"/>
        <v>-25.915000000000006</v>
      </c>
      <c r="H57" s="6">
        <f t="shared" si="63"/>
        <v>-39.55100000000003</v>
      </c>
      <c r="I57" s="6">
        <f t="shared" si="63"/>
        <v>-53.061999999999962</v>
      </c>
      <c r="J57" s="6">
        <f t="shared" si="63"/>
        <v>22.279000000000011</v>
      </c>
      <c r="K57" s="2">
        <f t="shared" si="63"/>
        <v>2.2579999999999831</v>
      </c>
    </row>
    <row r="58" spans="2:35" x14ac:dyDescent="0.2">
      <c r="B58" t="s">
        <v>59</v>
      </c>
      <c r="C58" s="6">
        <v>-44.999000000000002</v>
      </c>
      <c r="D58" s="6">
        <v>-39.606000000000002</v>
      </c>
      <c r="E58" s="6">
        <v>-28.727</v>
      </c>
      <c r="F58" s="6">
        <v>-11.385</v>
      </c>
      <c r="G58" s="6">
        <v>-25.914999999999999</v>
      </c>
      <c r="H58" s="6">
        <v>-66.781999999999996</v>
      </c>
      <c r="I58" s="6">
        <v>-76.611000000000004</v>
      </c>
      <c r="J58" s="6">
        <v>20.047999999999998</v>
      </c>
      <c r="K58" s="6">
        <v>2.258</v>
      </c>
    </row>
    <row r="59" spans="2:35" x14ac:dyDescent="0.2">
      <c r="B59" t="s">
        <v>60</v>
      </c>
      <c r="C59" s="6">
        <f>10.169+0.979</f>
        <v>11.148</v>
      </c>
      <c r="D59" s="6">
        <f>10.223+1.011</f>
        <v>11.234</v>
      </c>
      <c r="E59" s="6">
        <f>10.195+1.046</f>
        <v>11.241</v>
      </c>
      <c r="F59" s="6">
        <f>10.451+1.049</f>
        <v>11.5</v>
      </c>
      <c r="G59" s="6">
        <f>11.05+0.994</f>
        <v>12.044</v>
      </c>
      <c r="H59" s="6">
        <f>11.829+1.026</f>
        <v>12.855</v>
      </c>
      <c r="I59" s="6">
        <f>11.649+1.041</f>
        <v>12.69</v>
      </c>
      <c r="J59" s="6">
        <f>11.411+1.077</f>
        <v>12.488</v>
      </c>
      <c r="K59" s="2">
        <f>11.348+1.053</f>
        <v>12.401</v>
      </c>
    </row>
    <row r="60" spans="2:35" x14ac:dyDescent="0.2">
      <c r="B60" t="s">
        <v>61</v>
      </c>
      <c r="C60" s="6">
        <v>28.922000000000001</v>
      </c>
      <c r="D60" s="6">
        <v>32.411000000000001</v>
      </c>
      <c r="E60" s="6">
        <v>30.971</v>
      </c>
      <c r="F60" s="6">
        <v>27.597999999999999</v>
      </c>
      <c r="G60" s="6">
        <v>29.373000000000001</v>
      </c>
      <c r="H60" s="6">
        <v>31.695</v>
      </c>
      <c r="I60" s="6">
        <v>23.768000000000001</v>
      </c>
      <c r="J60" s="6">
        <v>23.245000000000001</v>
      </c>
      <c r="K60" s="6">
        <v>24.893000000000001</v>
      </c>
    </row>
    <row r="61" spans="2:35" x14ac:dyDescent="0.2">
      <c r="B61" t="s">
        <v>62</v>
      </c>
      <c r="C61" s="6">
        <v>0</v>
      </c>
      <c r="D61" s="6">
        <v>0</v>
      </c>
      <c r="E61" s="6">
        <v>0</v>
      </c>
      <c r="F61" s="6">
        <v>-1.44</v>
      </c>
      <c r="G61" s="6">
        <v>0</v>
      </c>
      <c r="H61" s="6">
        <v>0</v>
      </c>
      <c r="I61" s="6">
        <v>0</v>
      </c>
      <c r="J61" s="6">
        <v>-5.6239999999999997</v>
      </c>
      <c r="K61" s="6">
        <v>1.84</v>
      </c>
    </row>
    <row r="62" spans="2:35" x14ac:dyDescent="0.2">
      <c r="B62" t="s">
        <v>63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27.231000000000002</v>
      </c>
      <c r="I62" s="6">
        <v>3.5529999999999999</v>
      </c>
      <c r="J62" s="6">
        <v>0</v>
      </c>
      <c r="K62" s="6">
        <v>0</v>
      </c>
    </row>
    <row r="63" spans="2:35" x14ac:dyDescent="0.2">
      <c r="B63" t="s">
        <v>80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12.66</v>
      </c>
      <c r="I63" s="6">
        <v>2.851</v>
      </c>
      <c r="J63" s="6">
        <v>0</v>
      </c>
      <c r="K63" s="6">
        <v>0</v>
      </c>
    </row>
    <row r="64" spans="2:35" x14ac:dyDescent="0.2">
      <c r="B64" t="s">
        <v>81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53.889000000000003</v>
      </c>
      <c r="J64" s="6">
        <v>0</v>
      </c>
      <c r="K64" s="6">
        <v>0</v>
      </c>
    </row>
    <row r="65" spans="2:35" x14ac:dyDescent="0.2">
      <c r="B65" t="s">
        <v>21</v>
      </c>
      <c r="C65" s="6">
        <v>0.52600000000000002</v>
      </c>
      <c r="D65" s="6">
        <v>1.7549999999999999</v>
      </c>
      <c r="E65" s="6">
        <v>1.5469999999999999</v>
      </c>
      <c r="F65" s="6">
        <v>-4.0279999999999996</v>
      </c>
      <c r="G65" s="6">
        <v>0.995</v>
      </c>
      <c r="H65" s="6">
        <v>3.4279999999999999</v>
      </c>
      <c r="I65" s="6">
        <v>1.2030000000000001</v>
      </c>
      <c r="J65" s="6">
        <v>-5.157</v>
      </c>
      <c r="K65" s="6">
        <v>-0.20300000000000001</v>
      </c>
    </row>
    <row r="66" spans="2:35" x14ac:dyDescent="0.2">
      <c r="B66" t="s">
        <v>79</v>
      </c>
      <c r="C66" s="6">
        <f>36.327-2.939-6.556+8.673-24.048+3.83-0.481</f>
        <v>14.805999999999997</v>
      </c>
      <c r="D66" s="6">
        <f>+-18.18-2.141-3.971-5.116+11.555+19.353+0.155</f>
        <v>1.6550000000000036</v>
      </c>
      <c r="E66" s="6">
        <f>3.278-2.919+5.224+4.947+0.252-4.886-0.818</f>
        <v>5.0780000000000021</v>
      </c>
      <c r="F66" s="6">
        <v>18</v>
      </c>
      <c r="G66" s="6">
        <f>35.805-2.24-5.567-2.744-23.951-12.062+0.104</f>
        <v>-10.655000000000003</v>
      </c>
      <c r="H66" s="6">
        <f>+-20.695-3.723+6.967+1.462+11.983+13.845+0.379</f>
        <v>10.218</v>
      </c>
      <c r="I66" s="6">
        <f>+-2.682-3.525+4.033+0.027-6-8.15-1.381</f>
        <v>-17.677999999999997</v>
      </c>
      <c r="J66" s="6">
        <v>18</v>
      </c>
      <c r="K66" s="2">
        <f>39.529-0.679-1.223-4.19-24.89-21.186+2.52</f>
        <v>-10.118999999999996</v>
      </c>
    </row>
    <row r="67" spans="2:35" s="8" customFormat="1" x14ac:dyDescent="0.2">
      <c r="B67" s="8" t="s">
        <v>65</v>
      </c>
      <c r="C67" s="9">
        <f t="shared" ref="C67:K67" si="64">SUM(C58:C66)</f>
        <v>10.402999999999999</v>
      </c>
      <c r="D67" s="9">
        <f t="shared" si="64"/>
        <v>7.4490000000000052</v>
      </c>
      <c r="E67" s="9">
        <f t="shared" si="64"/>
        <v>20.110000000000003</v>
      </c>
      <c r="F67" s="9">
        <f t="shared" si="64"/>
        <v>40.245000000000005</v>
      </c>
      <c r="G67" s="9">
        <f t="shared" si="64"/>
        <v>5.8420000000000005</v>
      </c>
      <c r="H67" s="9">
        <f t="shared" si="64"/>
        <v>31.30500000000001</v>
      </c>
      <c r="I67" s="9">
        <f t="shared" si="64"/>
        <v>3.6649999999999956</v>
      </c>
      <c r="J67" s="9">
        <f t="shared" si="64"/>
        <v>63</v>
      </c>
      <c r="K67" s="9">
        <f t="shared" si="64"/>
        <v>31.070000000000004</v>
      </c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2:35" x14ac:dyDescent="0.2">
      <c r="K68" s="2"/>
    </row>
    <row r="69" spans="2:35" x14ac:dyDescent="0.2">
      <c r="B69" t="s">
        <v>66</v>
      </c>
      <c r="C69" s="6">
        <v>0</v>
      </c>
      <c r="D69" s="6">
        <v>0</v>
      </c>
      <c r="E69" s="6">
        <v>0</v>
      </c>
      <c r="F69" s="6">
        <v>0</v>
      </c>
      <c r="G69" s="6">
        <v>-34.033000000000001</v>
      </c>
      <c r="H69" s="6">
        <v>-0.80800000000000005</v>
      </c>
      <c r="I69" s="6">
        <v>0</v>
      </c>
      <c r="J69" s="6">
        <v>0</v>
      </c>
      <c r="K69" s="2">
        <v>0</v>
      </c>
    </row>
    <row r="70" spans="2:35" x14ac:dyDescent="0.2">
      <c r="B70" t="s">
        <v>67</v>
      </c>
      <c r="C70" s="6">
        <f>+-3.053-3.522</f>
        <v>-6.5749999999999993</v>
      </c>
      <c r="D70" s="6">
        <f>+-4.171-4.536</f>
        <v>-8.7070000000000007</v>
      </c>
      <c r="E70" s="6">
        <f>+-5.863-4.59</f>
        <v>-10.452999999999999</v>
      </c>
      <c r="F70" s="6">
        <f>+-7.295-4.497</f>
        <v>-11.792</v>
      </c>
      <c r="G70" s="6">
        <f>+-2.285-4.776</f>
        <v>-7.0609999999999999</v>
      </c>
      <c r="H70" s="6">
        <f>-1.419+4.305</f>
        <v>2.8859999999999997</v>
      </c>
      <c r="I70" s="6">
        <f>+-0.295-3.952</f>
        <v>-4.2469999999999999</v>
      </c>
      <c r="J70" s="6">
        <f>+-0.367-2.845</f>
        <v>-3.2120000000000002</v>
      </c>
      <c r="K70" s="2">
        <f>-0.62-2.916</f>
        <v>-3.536</v>
      </c>
    </row>
    <row r="71" spans="2:35" x14ac:dyDescent="0.2">
      <c r="B71" t="s">
        <v>47</v>
      </c>
      <c r="C71" s="6">
        <f>-32.136+2.8</f>
        <v>-29.336000000000002</v>
      </c>
      <c r="D71" s="6">
        <f>-26.861+57.529-0.5</f>
        <v>30.168000000000003</v>
      </c>
      <c r="E71" s="6">
        <f>26.05+-0.5</f>
        <v>25.55</v>
      </c>
      <c r="F71" s="6">
        <f>-28.279+34.925</f>
        <v>6.6459999999999972</v>
      </c>
      <c r="G71" s="6">
        <f>+-4.883+35.8</f>
        <v>30.916999999999998</v>
      </c>
      <c r="H71" s="6">
        <f>-75.374+29.9</f>
        <v>-45.473999999999997</v>
      </c>
      <c r="I71" s="6">
        <f>-113.756+35</f>
        <v>-78.756</v>
      </c>
      <c r="J71" s="6">
        <f>+-82.816+49.75+2.71</f>
        <v>-30.356000000000002</v>
      </c>
      <c r="K71" s="2">
        <f>-93.158+55</f>
        <v>-38.158000000000001</v>
      </c>
    </row>
    <row r="72" spans="2:35" x14ac:dyDescent="0.2">
      <c r="B72" t="s">
        <v>68</v>
      </c>
      <c r="C72" s="6">
        <f t="shared" ref="C72:K72" si="65">SUM(C69:C71)</f>
        <v>-35.911000000000001</v>
      </c>
      <c r="D72" s="6">
        <f t="shared" si="65"/>
        <v>21.461000000000002</v>
      </c>
      <c r="E72" s="6">
        <f t="shared" si="65"/>
        <v>15.097000000000001</v>
      </c>
      <c r="F72" s="6">
        <f t="shared" si="65"/>
        <v>-5.1460000000000026</v>
      </c>
      <c r="G72" s="6">
        <f t="shared" si="65"/>
        <v>-10.177000000000003</v>
      </c>
      <c r="H72" s="6">
        <f t="shared" si="65"/>
        <v>-43.396000000000001</v>
      </c>
      <c r="I72" s="6">
        <f t="shared" si="65"/>
        <v>-83.003</v>
      </c>
      <c r="J72" s="6">
        <f t="shared" si="65"/>
        <v>-33.568000000000005</v>
      </c>
      <c r="K72" s="6">
        <f t="shared" si="65"/>
        <v>-41.694000000000003</v>
      </c>
    </row>
    <row r="73" spans="2:35" x14ac:dyDescent="0.2">
      <c r="K73" s="2"/>
    </row>
    <row r="74" spans="2:35" x14ac:dyDescent="0.2">
      <c r="B74" t="s">
        <v>92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292.8</v>
      </c>
      <c r="J74" s="6">
        <v>-0.70899999999999996</v>
      </c>
      <c r="K74" s="2">
        <v>0</v>
      </c>
    </row>
    <row r="75" spans="2:35" x14ac:dyDescent="0.2">
      <c r="B75" t="s">
        <v>69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-36.57</v>
      </c>
      <c r="J75" s="6">
        <v>0</v>
      </c>
      <c r="K75" s="2">
        <v>0</v>
      </c>
    </row>
    <row r="76" spans="2:35" x14ac:dyDescent="0.2">
      <c r="B76" t="s">
        <v>76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2">
        <v>0</v>
      </c>
    </row>
    <row r="77" spans="2:35" x14ac:dyDescent="0.2">
      <c r="B77" t="s">
        <v>70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-199.99799999999999</v>
      </c>
      <c r="J77" s="6">
        <v>0</v>
      </c>
      <c r="K77" s="2">
        <v>0</v>
      </c>
    </row>
    <row r="78" spans="2:35" x14ac:dyDescent="0.2">
      <c r="B78" t="s">
        <v>66</v>
      </c>
      <c r="C78" s="6">
        <v>0</v>
      </c>
      <c r="D78" s="6">
        <v>0</v>
      </c>
      <c r="E78" s="6">
        <v>0</v>
      </c>
      <c r="F78" s="6">
        <v>0</v>
      </c>
      <c r="G78" s="6">
        <v>-2.25</v>
      </c>
      <c r="H78" s="6">
        <v>0</v>
      </c>
      <c r="I78" s="6">
        <v>0</v>
      </c>
      <c r="J78" s="6">
        <v>0</v>
      </c>
      <c r="K78" s="2">
        <v>0</v>
      </c>
    </row>
    <row r="79" spans="2:35" x14ac:dyDescent="0.2">
      <c r="B79" t="s">
        <v>71</v>
      </c>
      <c r="C79" s="6">
        <v>-3.4609999999999999</v>
      </c>
      <c r="D79" s="6">
        <v>0</v>
      </c>
      <c r="E79" s="6">
        <v>0</v>
      </c>
      <c r="F79" s="6">
        <v>0</v>
      </c>
      <c r="G79" s="6">
        <v>-1.2669999999999999</v>
      </c>
      <c r="H79" s="6">
        <v>0</v>
      </c>
      <c r="I79" s="6">
        <v>17.518000000000001</v>
      </c>
      <c r="J79" s="6">
        <v>0</v>
      </c>
      <c r="K79" s="2">
        <v>0</v>
      </c>
    </row>
    <row r="80" spans="2:35" x14ac:dyDescent="0.2">
      <c r="B80" t="s">
        <v>77</v>
      </c>
      <c r="C80" s="6">
        <v>0</v>
      </c>
      <c r="D80" s="6">
        <v>-1.3240000000000001</v>
      </c>
      <c r="E80" s="6">
        <v>-1.637</v>
      </c>
      <c r="F80" s="6">
        <v>-0.71899999999999997</v>
      </c>
      <c r="G80" s="6">
        <v>0</v>
      </c>
      <c r="H80" s="6">
        <v>-1.3240000000000001</v>
      </c>
      <c r="I80" s="6">
        <v>-1.421</v>
      </c>
      <c r="J80" s="6">
        <v>-1.5580000000000001</v>
      </c>
      <c r="K80" s="2">
        <v>-1.764</v>
      </c>
    </row>
    <row r="81" spans="2:11" x14ac:dyDescent="0.2">
      <c r="B81" t="s">
        <v>93</v>
      </c>
      <c r="C81" s="6">
        <v>5.71</v>
      </c>
      <c r="D81" s="6">
        <v>0</v>
      </c>
      <c r="E81" s="6">
        <v>6.2329999999999997</v>
      </c>
      <c r="F81" s="6">
        <v>0</v>
      </c>
      <c r="G81" s="6">
        <v>6.1740000000000004</v>
      </c>
      <c r="H81" s="6">
        <v>0</v>
      </c>
      <c r="I81" s="6">
        <v>5.149</v>
      </c>
      <c r="J81" s="6">
        <v>0</v>
      </c>
      <c r="K81" s="2">
        <v>5.0460000000000003</v>
      </c>
    </row>
    <row r="82" spans="2:11" x14ac:dyDescent="0.2">
      <c r="B82" t="s">
        <v>78</v>
      </c>
      <c r="C82" s="6">
        <v>0.95899999999999996</v>
      </c>
      <c r="D82" s="6">
        <v>2.5009999999999999</v>
      </c>
      <c r="E82" s="6">
        <v>0.41599999999999998</v>
      </c>
      <c r="F82" s="6">
        <v>1.6970000000000001</v>
      </c>
      <c r="G82" s="6">
        <v>0.18099999999999999</v>
      </c>
      <c r="H82" s="6">
        <v>2.5009999999999999</v>
      </c>
      <c r="I82" s="6">
        <v>0.30199999999999999</v>
      </c>
      <c r="J82" s="6">
        <v>6.9000000000000006E-2</v>
      </c>
      <c r="K82" s="2">
        <v>1.08</v>
      </c>
    </row>
    <row r="83" spans="2:11" x14ac:dyDescent="0.2">
      <c r="B83" t="s">
        <v>72</v>
      </c>
      <c r="C83" s="6">
        <f t="shared" ref="C83:K83" si="66">SUM(C74:C82)</f>
        <v>3.2080000000000002</v>
      </c>
      <c r="D83" s="6">
        <f t="shared" si="66"/>
        <v>1.1769999999999998</v>
      </c>
      <c r="E83" s="6">
        <f t="shared" si="66"/>
        <v>5.0120000000000005</v>
      </c>
      <c r="F83" s="6">
        <f t="shared" si="66"/>
        <v>0.97800000000000009</v>
      </c>
      <c r="G83" s="6">
        <f t="shared" si="66"/>
        <v>2.8380000000000005</v>
      </c>
      <c r="H83" s="6">
        <f t="shared" si="66"/>
        <v>1.1769999999999998</v>
      </c>
      <c r="I83" s="6">
        <f t="shared" si="66"/>
        <v>77.78000000000003</v>
      </c>
      <c r="J83" s="6">
        <f t="shared" si="66"/>
        <v>-2.198</v>
      </c>
      <c r="K83" s="6">
        <f t="shared" si="66"/>
        <v>4.3620000000000001</v>
      </c>
    </row>
    <row r="84" spans="2:11" x14ac:dyDescent="0.2">
      <c r="B84" t="s">
        <v>73</v>
      </c>
      <c r="C84" s="6">
        <v>-0.8</v>
      </c>
      <c r="D84" s="6">
        <v>-0.30399999999999999</v>
      </c>
      <c r="E84" s="6">
        <v>-2.036</v>
      </c>
      <c r="F84" s="6">
        <v>0.97799999999999998</v>
      </c>
      <c r="G84" s="6">
        <v>-3.3000000000000002E-2</v>
      </c>
      <c r="H84" s="6">
        <v>-0.30399999999999999</v>
      </c>
      <c r="I84" s="6">
        <v>-1.673</v>
      </c>
      <c r="J84" s="6">
        <v>3.2120000000000002</v>
      </c>
      <c r="K84" s="2">
        <v>-1.4930000000000001</v>
      </c>
    </row>
    <row r="85" spans="2:11" x14ac:dyDescent="0.2">
      <c r="B85" t="s">
        <v>74</v>
      </c>
      <c r="C85" s="6">
        <f t="shared" ref="C85:K85" si="67">+C67+C72+C83+C84</f>
        <v>-23.100000000000005</v>
      </c>
      <c r="D85" s="6">
        <f t="shared" si="67"/>
        <v>29.783000000000008</v>
      </c>
      <c r="E85" s="6">
        <f t="shared" si="67"/>
        <v>38.183000000000007</v>
      </c>
      <c r="F85" s="6">
        <f t="shared" si="67"/>
        <v>37.055000000000007</v>
      </c>
      <c r="G85" s="6">
        <f t="shared" si="67"/>
        <v>-1.530000000000002</v>
      </c>
      <c r="H85" s="6">
        <f t="shared" si="67"/>
        <v>-11.217999999999991</v>
      </c>
      <c r="I85" s="6">
        <f t="shared" si="67"/>
        <v>-3.2309999999999786</v>
      </c>
      <c r="J85" s="6">
        <f t="shared" si="67"/>
        <v>30.445999999999994</v>
      </c>
      <c r="K85" s="6">
        <f t="shared" si="67"/>
        <v>-7.754999999999999</v>
      </c>
    </row>
    <row r="86" spans="2:11" x14ac:dyDescent="0.2">
      <c r="K86" s="2"/>
    </row>
    <row r="87" spans="2:11" x14ac:dyDescent="0.2">
      <c r="B87" t="s">
        <v>75</v>
      </c>
      <c r="C87" s="6">
        <f t="shared" ref="C87:J87" si="68">+C67+C70-C60</f>
        <v>-25.094000000000001</v>
      </c>
      <c r="D87" s="6">
        <f t="shared" si="68"/>
        <v>-33.668999999999997</v>
      </c>
      <c r="E87" s="6">
        <f t="shared" si="68"/>
        <v>-21.313999999999997</v>
      </c>
      <c r="F87" s="6">
        <f t="shared" si="68"/>
        <v>0.85500000000000398</v>
      </c>
      <c r="G87" s="6">
        <f t="shared" si="68"/>
        <v>-30.591999999999999</v>
      </c>
      <c r="H87" s="6">
        <f t="shared" si="68"/>
        <v>2.4960000000000093</v>
      </c>
      <c r="I87" s="6">
        <f t="shared" si="68"/>
        <v>-24.350000000000005</v>
      </c>
      <c r="J87" s="6">
        <f t="shared" si="68"/>
        <v>36.542999999999992</v>
      </c>
      <c r="K87" s="6">
        <f>+K67+K70-K60</f>
        <v>2.6410000000000018</v>
      </c>
    </row>
    <row r="89" spans="2:11" x14ac:dyDescent="0.2">
      <c r="B89" t="s">
        <v>96</v>
      </c>
      <c r="F89" s="2">
        <f t="shared" ref="F89:J89" si="69">+SUM(C87:F87)</f>
        <v>-79.221999999999994</v>
      </c>
      <c r="G89" s="2">
        <f t="shared" si="69"/>
        <v>-84.719999999999985</v>
      </c>
      <c r="H89" s="2">
        <f t="shared" si="69"/>
        <v>-48.554999999999978</v>
      </c>
      <c r="I89" s="2">
        <f t="shared" si="69"/>
        <v>-51.590999999999994</v>
      </c>
      <c r="J89" s="2">
        <f t="shared" si="69"/>
        <v>-15.903000000000006</v>
      </c>
      <c r="K89" s="2">
        <f>+SUM(H87:K87)</f>
        <v>17.329999999999998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2024-03-23T15:24:49Z</dcterms:created>
  <dcterms:modified xsi:type="dcterms:W3CDTF">2024-07-11T17:53:29Z</dcterms:modified>
</cp:coreProperties>
</file>