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A9083BD6-6C85-4C99-8EFB-96CD86034061}" xr6:coauthVersionLast="47" xr6:coauthVersionMax="47" xr10:uidLastSave="{00000000-0000-0000-0000-000000000000}"/>
  <bookViews>
    <workbookView xWindow="180" yWindow="255" windowWidth="14070" windowHeight="15450" activeTab="1" xr2:uid="{7520D95D-CFD7-47FD-BB52-E8B18E709B4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2" l="1"/>
  <c r="T14" i="2"/>
  <c r="T6" i="2"/>
  <c r="T25" i="2" s="1"/>
  <c r="U16" i="2"/>
  <c r="U14" i="2"/>
  <c r="U6" i="2"/>
  <c r="AA16" i="2"/>
  <c r="Z16" i="2"/>
  <c r="Y16" i="2"/>
  <c r="X16" i="2"/>
  <c r="W16" i="2"/>
  <c r="V16" i="2"/>
  <c r="V14" i="2"/>
  <c r="V6" i="2"/>
  <c r="T15" i="2" l="1"/>
  <c r="U27" i="2"/>
  <c r="V27" i="2"/>
  <c r="U15" i="2"/>
  <c r="U25" i="2"/>
  <c r="V25" i="2"/>
  <c r="V15" i="2"/>
  <c r="W14" i="2"/>
  <c r="W6" i="2"/>
  <c r="W27" i="2" s="1"/>
  <c r="X14" i="2"/>
  <c r="X6" i="2"/>
  <c r="Y14" i="2"/>
  <c r="Y6" i="2"/>
  <c r="Z14" i="2"/>
  <c r="Z6" i="2"/>
  <c r="AA14" i="2"/>
  <c r="AA6" i="2"/>
  <c r="F25" i="2"/>
  <c r="F24" i="2"/>
  <c r="F23" i="2"/>
  <c r="F20" i="2"/>
  <c r="F21" i="2"/>
  <c r="F19" i="2"/>
  <c r="F18" i="2"/>
  <c r="F17" i="2"/>
  <c r="F16" i="2"/>
  <c r="F14" i="2"/>
  <c r="F15" i="2" s="1"/>
  <c r="F13" i="2"/>
  <c r="F12" i="2"/>
  <c r="F11" i="2"/>
  <c r="F10" i="2"/>
  <c r="F9" i="2"/>
  <c r="F8" i="2"/>
  <c r="F7" i="2"/>
  <c r="F6" i="2"/>
  <c r="J27" i="2" s="1"/>
  <c r="F5" i="2"/>
  <c r="F4" i="2"/>
  <c r="J25" i="2"/>
  <c r="J24" i="2"/>
  <c r="J23" i="2"/>
  <c r="K27" i="2"/>
  <c r="K25" i="2"/>
  <c r="K24" i="2"/>
  <c r="K23" i="2"/>
  <c r="J20" i="2"/>
  <c r="J21" i="2"/>
  <c r="J19" i="2"/>
  <c r="J18" i="2"/>
  <c r="J17" i="2"/>
  <c r="J16" i="2"/>
  <c r="J14" i="2"/>
  <c r="J15" i="2" s="1"/>
  <c r="J13" i="2"/>
  <c r="J12" i="2"/>
  <c r="J11" i="2"/>
  <c r="J10" i="2"/>
  <c r="J9" i="2"/>
  <c r="J8" i="2"/>
  <c r="J7" i="2"/>
  <c r="J6" i="2"/>
  <c r="N27" i="2" s="1"/>
  <c r="J5" i="2"/>
  <c r="J4" i="2"/>
  <c r="E14" i="2"/>
  <c r="E6" i="2"/>
  <c r="I14" i="2"/>
  <c r="D18" i="2"/>
  <c r="D16" i="2"/>
  <c r="D13" i="2"/>
  <c r="D12" i="2"/>
  <c r="D11" i="2"/>
  <c r="D10" i="2"/>
  <c r="D9" i="2"/>
  <c r="D8" i="2"/>
  <c r="D7" i="2"/>
  <c r="D5" i="2"/>
  <c r="D6" i="2" s="1"/>
  <c r="D25" i="2" s="1"/>
  <c r="D4" i="2"/>
  <c r="H25" i="2"/>
  <c r="H24" i="2"/>
  <c r="H23" i="2"/>
  <c r="H20" i="2"/>
  <c r="H19" i="2"/>
  <c r="H18" i="2"/>
  <c r="H17" i="2"/>
  <c r="H16" i="2"/>
  <c r="H7" i="2"/>
  <c r="H14" i="2" s="1"/>
  <c r="H15" i="2" s="1"/>
  <c r="H13" i="2"/>
  <c r="H12" i="2"/>
  <c r="H11" i="2"/>
  <c r="H10" i="2"/>
  <c r="H9" i="2"/>
  <c r="H8" i="2"/>
  <c r="H6" i="2"/>
  <c r="H5" i="2"/>
  <c r="H4" i="2"/>
  <c r="C14" i="2"/>
  <c r="C6" i="2"/>
  <c r="G14" i="2"/>
  <c r="G6" i="2"/>
  <c r="G25" i="2" s="1"/>
  <c r="N25" i="2"/>
  <c r="N24" i="2"/>
  <c r="N23" i="2"/>
  <c r="N16" i="2"/>
  <c r="N21" i="2"/>
  <c r="N4" i="2"/>
  <c r="N6" i="2" s="1"/>
  <c r="N15" i="2" s="1"/>
  <c r="N18" i="2"/>
  <c r="N14" i="2"/>
  <c r="N13" i="2"/>
  <c r="N12" i="2"/>
  <c r="N11" i="2"/>
  <c r="N10" i="2"/>
  <c r="N9" i="2"/>
  <c r="N8" i="2"/>
  <c r="N7" i="2"/>
  <c r="N5" i="2"/>
  <c r="M18" i="2"/>
  <c r="L18" i="2"/>
  <c r="L19" i="2" s="1"/>
  <c r="M16" i="2"/>
  <c r="M13" i="2"/>
  <c r="M12" i="2"/>
  <c r="M11" i="2"/>
  <c r="M10" i="2"/>
  <c r="M9" i="2"/>
  <c r="M8" i="2"/>
  <c r="M7" i="2"/>
  <c r="M5" i="2"/>
  <c r="M4" i="2"/>
  <c r="L16" i="2"/>
  <c r="L13" i="2"/>
  <c r="L12" i="2"/>
  <c r="L11" i="2"/>
  <c r="L10" i="2"/>
  <c r="L9" i="2"/>
  <c r="L8" i="2"/>
  <c r="L7" i="2"/>
  <c r="L5" i="2"/>
  <c r="L4" i="2"/>
  <c r="AC27" i="2"/>
  <c r="AD27" i="2"/>
  <c r="AB14" i="2"/>
  <c r="AB6" i="2"/>
  <c r="AB25" i="2" s="1"/>
  <c r="AC16" i="2"/>
  <c r="AC14" i="2"/>
  <c r="AC6" i="2"/>
  <c r="AC25" i="2" s="1"/>
  <c r="AD16" i="2"/>
  <c r="AD14" i="2"/>
  <c r="AD6" i="2"/>
  <c r="AD25" i="2" s="1"/>
  <c r="T23" i="2" l="1"/>
  <c r="T17" i="2"/>
  <c r="T19" i="2" s="1"/>
  <c r="U23" i="2"/>
  <c r="U17" i="2"/>
  <c r="U19" i="2" s="1"/>
  <c r="V17" i="2"/>
  <c r="V19" i="2" s="1"/>
  <c r="V23" i="2"/>
  <c r="W15" i="2"/>
  <c r="X27" i="2"/>
  <c r="W25" i="2"/>
  <c r="Y27" i="2"/>
  <c r="X15" i="2"/>
  <c r="X25" i="2"/>
  <c r="Z27" i="2"/>
  <c r="Y15" i="2"/>
  <c r="Y25" i="2"/>
  <c r="AA27" i="2"/>
  <c r="Z15" i="2"/>
  <c r="Z25" i="2"/>
  <c r="AA15" i="2"/>
  <c r="AB27" i="2"/>
  <c r="AA25" i="2"/>
  <c r="E15" i="2"/>
  <c r="E23" i="2" s="1"/>
  <c r="E25" i="2"/>
  <c r="I6" i="2"/>
  <c r="I27" i="2" s="1"/>
  <c r="D14" i="2"/>
  <c r="D15" i="2" s="1"/>
  <c r="H27" i="2"/>
  <c r="C15" i="2"/>
  <c r="C25" i="2"/>
  <c r="G15" i="2"/>
  <c r="G27" i="2"/>
  <c r="N17" i="2"/>
  <c r="N19" i="2" s="1"/>
  <c r="N20" i="2" s="1"/>
  <c r="M14" i="2"/>
  <c r="M6" i="2"/>
  <c r="L14" i="2"/>
  <c r="L15" i="2" s="1"/>
  <c r="L6" i="2"/>
  <c r="L27" i="2" s="1"/>
  <c r="L25" i="2"/>
  <c r="AB15" i="2"/>
  <c r="AC15" i="2"/>
  <c r="AD15" i="2"/>
  <c r="K17" i="2"/>
  <c r="K14" i="2"/>
  <c r="K6" i="2"/>
  <c r="O25" i="2"/>
  <c r="O24" i="2"/>
  <c r="O23" i="2"/>
  <c r="O20" i="2"/>
  <c r="O19" i="2"/>
  <c r="O17" i="2"/>
  <c r="O15" i="2"/>
  <c r="O14" i="2"/>
  <c r="O6" i="2"/>
  <c r="AN3" i="2"/>
  <c r="V3" i="2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U3" i="2"/>
  <c r="T24" i="2" l="1"/>
  <c r="T20" i="2"/>
  <c r="U24" i="2"/>
  <c r="U20" i="2"/>
  <c r="V24" i="2"/>
  <c r="V20" i="2"/>
  <c r="W23" i="2"/>
  <c r="W17" i="2"/>
  <c r="W19" i="2" s="1"/>
  <c r="X23" i="2"/>
  <c r="X17" i="2"/>
  <c r="X19" i="2" s="1"/>
  <c r="Y23" i="2"/>
  <c r="Y17" i="2"/>
  <c r="Y19" i="2" s="1"/>
  <c r="Z17" i="2"/>
  <c r="Z19" i="2" s="1"/>
  <c r="Z23" i="2"/>
  <c r="AA23" i="2"/>
  <c r="AA17" i="2"/>
  <c r="AA19" i="2" s="1"/>
  <c r="E17" i="2"/>
  <c r="E19" i="2" s="1"/>
  <c r="E24" i="2" s="1"/>
  <c r="M27" i="2"/>
  <c r="I15" i="2"/>
  <c r="I23" i="2" s="1"/>
  <c r="I25" i="2"/>
  <c r="D23" i="2"/>
  <c r="D17" i="2"/>
  <c r="D19" i="2" s="1"/>
  <c r="C17" i="2"/>
  <c r="C19" i="2" s="1"/>
  <c r="C23" i="2"/>
  <c r="G23" i="2"/>
  <c r="G17" i="2"/>
  <c r="G19" i="2" s="1"/>
  <c r="M15" i="2"/>
  <c r="M17" i="2" s="1"/>
  <c r="M19" i="2" s="1"/>
  <c r="M25" i="2"/>
  <c r="L17" i="2"/>
  <c r="L23" i="2"/>
  <c r="AB17" i="2"/>
  <c r="AB19" i="2" s="1"/>
  <c r="AB23" i="2"/>
  <c r="AC17" i="2"/>
  <c r="AC19" i="2" s="1"/>
  <c r="AC23" i="2"/>
  <c r="AD23" i="2"/>
  <c r="AD17" i="2"/>
  <c r="AD19" i="2" s="1"/>
  <c r="O27" i="2"/>
  <c r="K15" i="2"/>
  <c r="L7" i="1"/>
  <c r="L6" i="1"/>
  <c r="L5" i="1"/>
  <c r="L4" i="1"/>
  <c r="W24" i="2" l="1"/>
  <c r="W20" i="2"/>
  <c r="X24" i="2"/>
  <c r="X20" i="2"/>
  <c r="Y24" i="2"/>
  <c r="Y20" i="2"/>
  <c r="Z24" i="2"/>
  <c r="Z20" i="2"/>
  <c r="AA24" i="2"/>
  <c r="AA20" i="2"/>
  <c r="E20" i="2"/>
  <c r="I17" i="2"/>
  <c r="I19" i="2" s="1"/>
  <c r="I24" i="2" s="1"/>
  <c r="D24" i="2"/>
  <c r="D20" i="2"/>
  <c r="C24" i="2"/>
  <c r="C20" i="2"/>
  <c r="G24" i="2"/>
  <c r="G20" i="2"/>
  <c r="M23" i="2"/>
  <c r="M24" i="2"/>
  <c r="M20" i="2"/>
  <c r="L24" i="2"/>
  <c r="L20" i="2"/>
  <c r="AB24" i="2"/>
  <c r="AB20" i="2"/>
  <c r="AC24" i="2"/>
  <c r="AC20" i="2"/>
  <c r="AD24" i="2"/>
  <c r="AD20" i="2"/>
  <c r="K19" i="2"/>
  <c r="I20" i="2" l="1"/>
  <c r="K20" i="2"/>
</calcChain>
</file>

<file path=xl/sharedStrings.xml><?xml version="1.0" encoding="utf-8"?>
<sst xmlns="http://schemas.openxmlformats.org/spreadsheetml/2006/main" count="52" uniqueCount="46">
  <si>
    <t>Ryanair</t>
  </si>
  <si>
    <t>(RYAI)</t>
  </si>
  <si>
    <t>Price</t>
  </si>
  <si>
    <t>Shares</t>
  </si>
  <si>
    <t>MC</t>
  </si>
  <si>
    <t>Cash</t>
  </si>
  <si>
    <t>Debt</t>
  </si>
  <si>
    <t>EV</t>
  </si>
  <si>
    <t>Revenue</t>
  </si>
  <si>
    <t xml:space="preserve">Scheduled </t>
  </si>
  <si>
    <t>Ancillary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</si>
  <si>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</si>
  <si>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</si>
  <si>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</si>
  <si>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</si>
  <si>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</si>
  <si>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</si>
  <si>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</si>
  <si>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</si>
  <si>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</si>
  <si>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</si>
  <si>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</si>
  <si>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</si>
  <si>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Fuel and oil</t>
  </si>
  <si>
    <t>Airport and handling charges</t>
  </si>
  <si>
    <t>Staff cost</t>
  </si>
  <si>
    <t>Depreciation</t>
  </si>
  <si>
    <t>Route charges</t>
  </si>
  <si>
    <t>Marketing, distribution &amp; other</t>
  </si>
  <si>
    <t>Maintenance</t>
  </si>
  <si>
    <t>OpEx</t>
  </si>
  <si>
    <t>OpInc</t>
  </si>
  <si>
    <t>Interest income</t>
  </si>
  <si>
    <t>Pretax</t>
  </si>
  <si>
    <t>Taxes</t>
  </si>
  <si>
    <t>Net income</t>
  </si>
  <si>
    <t>EPS</t>
  </si>
  <si>
    <t>Operating margin</t>
  </si>
  <si>
    <t>Net margin</t>
  </si>
  <si>
    <t>Tax rate</t>
  </si>
  <si>
    <t>Revenue y/y</t>
  </si>
  <si>
    <t>FY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</si>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</sst>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9525</xdr:rowOff>
    </xdr:from>
    <xdr:to>
      <xdr:col>15</xdr:col>
      <xdr:colOff>28575</xdr:colOff>
      <xdr:row>40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9AB603-CAD9-5DF0-51C9-395B22FEF16E}"/>
            </a:ext>
          </a:extLst>
        </xdr:cNvPr>
        <xdr:cNvCxnSpPr/>
      </xdr:nvCxnSpPr>
      <xdr:spPr>
        <a:xfrm>
          <a:off x="9858375" y="9525"/>
          <a:ext cx="0" cy="6772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0</xdr:row>
      <xdr:rowOff>28575</xdr:rowOff>
    </xdr:from>
    <xdr:to>
      <xdr:col>30</xdr:col>
      <xdr:colOff>19050</xdr:colOff>
      <xdr:row>40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E43CEE7-302C-4572-AF74-59B8F2182A98}"/>
            </a:ext>
          </a:extLst>
        </xdr:cNvPr>
        <xdr:cNvCxnSpPr/>
      </xdr:nvCxnSpPr>
      <xdr:spPr>
        <a:xfrm>
          <a:off x="18992850" y="28575"/>
          <a:ext cx="0" cy="6772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44B3-8F39-4C99-B85F-8E17CBA11A9A}">
  <dimension ref="B1:M7"/>
  <sheetViews>
    <sheetView workbookViewId="0">
      <selection activeCell="M6" sqref="M6"/>
    </sheetView>
  </sheetViews>
  <sheetFormatPr defaultRowHeight="12.75" x14ac:dyDescent="0.2"/>
  <cols>
    <col min="1" max="1" width="2.42578125" customWidth="1"/>
    <col min="2" max="2" width="17.42578125" bestFit="1" customWidth="1"/>
  </cols>
  <sheetData>
    <row r="1" spans="2:13" ht="30" x14ac:dyDescent="0.4">
      <c r="B1" s="1" t="s">
        <v>0</v>
      </c>
    </row>
    <row r="2" spans="2:13" x14ac:dyDescent="0.2">
      <c r="B2" t="s">
        <v>1</v>
      </c>
      <c r="K2" t="s">
        <v>2</v>
      </c>
      <c r="L2">
        <v>16.52</v>
      </c>
    </row>
    <row r="3" spans="2:13" x14ac:dyDescent="0.2">
      <c r="K3" t="s">
        <v>3</v>
      </c>
      <c r="L3" s="2">
        <v>1144.5999999999999</v>
      </c>
      <c r="M3" s="3" t="s">
        <v>19</v>
      </c>
    </row>
    <row r="4" spans="2:13" x14ac:dyDescent="0.2">
      <c r="K4" t="s">
        <v>4</v>
      </c>
      <c r="L4" s="2">
        <f>+L2*L3</f>
        <v>18908.791999999998</v>
      </c>
      <c r="M4" s="3"/>
    </row>
    <row r="5" spans="2:13" x14ac:dyDescent="0.2">
      <c r="K5" t="s">
        <v>5</v>
      </c>
      <c r="L5" s="2">
        <f>3955.1+526.1+6.4</f>
        <v>4487.5999999999995</v>
      </c>
      <c r="M5" s="3" t="s">
        <v>19</v>
      </c>
    </row>
    <row r="6" spans="2:13" x14ac:dyDescent="0.2">
      <c r="K6" t="s">
        <v>6</v>
      </c>
      <c r="L6" s="2">
        <f>45+2533.6</f>
        <v>2578.6</v>
      </c>
      <c r="M6" s="3" t="s">
        <v>19</v>
      </c>
    </row>
    <row r="7" spans="2:13" x14ac:dyDescent="0.2">
      <c r="K7" t="s">
        <v>7</v>
      </c>
      <c r="L7" s="2">
        <f>+L4-L5+L6</f>
        <v>16999.791999999998</v>
      </c>
      <c r="M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2A52-B732-47B3-B0DC-2CE1DD1BD62D}">
  <dimension ref="B1:AN27"/>
  <sheetViews>
    <sheetView tabSelected="1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P19" sqref="P19"/>
    </sheetView>
  </sheetViews>
  <sheetFormatPr defaultRowHeight="12.75" x14ac:dyDescent="0.2"/>
  <cols>
    <col min="1" max="1" width="2.140625" style="2" customWidth="1"/>
    <col min="2" max="2" width="26.42578125" style="2" bestFit="1" customWidth="1"/>
    <col min="3" max="18" width="9.140625" style="10"/>
    <col min="19" max="16384" width="9.140625" style="2"/>
  </cols>
  <sheetData>
    <row r="1" spans="2:40" ht="30" x14ac:dyDescent="0.4">
      <c r="B1" s="13" t="s">
        <v>0</v>
      </c>
      <c r="N1" s="10" t="s">
        <v>41</v>
      </c>
    </row>
    <row r="2" spans="2:40" s="8" customFormat="1" x14ac:dyDescent="0.2">
      <c r="B2" s="8" t="s">
        <v>1</v>
      </c>
      <c r="C2" s="9">
        <v>44377</v>
      </c>
      <c r="D2" s="9">
        <v>44469</v>
      </c>
      <c r="E2" s="9">
        <v>44561</v>
      </c>
      <c r="F2" s="9">
        <v>44651</v>
      </c>
      <c r="G2" s="9">
        <v>44742</v>
      </c>
      <c r="H2" s="9">
        <v>44834</v>
      </c>
      <c r="I2" s="9">
        <v>44926</v>
      </c>
      <c r="J2" s="9">
        <v>45016</v>
      </c>
      <c r="K2" s="9">
        <v>45107</v>
      </c>
      <c r="L2" s="9">
        <v>45199</v>
      </c>
      <c r="M2" s="9">
        <v>45291</v>
      </c>
      <c r="N2" s="9">
        <v>45382</v>
      </c>
      <c r="O2" s="9">
        <v>45473</v>
      </c>
      <c r="P2" s="9"/>
      <c r="Q2" s="9"/>
      <c r="R2" s="9"/>
      <c r="T2" s="8">
        <v>41729</v>
      </c>
      <c r="U2" s="8">
        <v>42094</v>
      </c>
      <c r="V2" s="8">
        <v>42460</v>
      </c>
      <c r="W2" s="8">
        <v>42825</v>
      </c>
      <c r="X2" s="8">
        <v>43190</v>
      </c>
      <c r="Y2" s="8">
        <v>43555</v>
      </c>
      <c r="Z2" s="8">
        <v>43921</v>
      </c>
      <c r="AA2" s="8">
        <v>44286</v>
      </c>
      <c r="AB2" s="8">
        <v>44651</v>
      </c>
      <c r="AC2" s="8">
        <v>45016</v>
      </c>
      <c r="AD2" s="8">
        <v>45382</v>
      </c>
    </row>
    <row r="3" spans="2:40" customFormat="1" x14ac:dyDescent="0.2"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42</v>
      </c>
      <c r="P3" s="3" t="s">
        <v>43</v>
      </c>
      <c r="Q3" s="3" t="s">
        <v>44</v>
      </c>
      <c r="R3" s="3" t="s">
        <v>45</v>
      </c>
      <c r="T3">
        <v>2014</v>
      </c>
      <c r="U3">
        <f>+T3+1</f>
        <v>2015</v>
      </c>
      <c r="V3">
        <f t="shared" ref="V3:AN3" si="0">+U3+1</f>
        <v>2016</v>
      </c>
      <c r="W3">
        <f t="shared" si="0"/>
        <v>2017</v>
      </c>
      <c r="X3">
        <f t="shared" si="0"/>
        <v>2018</v>
      </c>
      <c r="Y3">
        <f t="shared" si="0"/>
        <v>2019</v>
      </c>
      <c r="Z3">
        <f t="shared" si="0"/>
        <v>2020</v>
      </c>
      <c r="AA3">
        <f t="shared" si="0"/>
        <v>2021</v>
      </c>
      <c r="AB3">
        <f t="shared" si="0"/>
        <v>2022</v>
      </c>
      <c r="AC3">
        <f t="shared" si="0"/>
        <v>2023</v>
      </c>
      <c r="AD3">
        <f t="shared" si="0"/>
        <v>2024</v>
      </c>
      <c r="AE3">
        <f t="shared" si="0"/>
        <v>2025</v>
      </c>
      <c r="AF3">
        <f t="shared" si="0"/>
        <v>2026</v>
      </c>
      <c r="AG3">
        <f t="shared" si="0"/>
        <v>2027</v>
      </c>
      <c r="AH3">
        <f t="shared" si="0"/>
        <v>2028</v>
      </c>
      <c r="AI3">
        <f t="shared" si="0"/>
        <v>2029</v>
      </c>
      <c r="AJ3">
        <f t="shared" si="0"/>
        <v>2030</v>
      </c>
      <c r="AK3">
        <f t="shared" si="0"/>
        <v>2031</v>
      </c>
      <c r="AL3">
        <f t="shared" si="0"/>
        <v>2032</v>
      </c>
      <c r="AM3">
        <f t="shared" si="0"/>
        <v>2033</v>
      </c>
      <c r="AN3">
        <f t="shared" si="0"/>
        <v>2034</v>
      </c>
    </row>
    <row r="4" spans="2:40" x14ac:dyDescent="0.2">
      <c r="B4" s="2" t="s">
        <v>9</v>
      </c>
      <c r="C4" s="10">
        <v>191.9</v>
      </c>
      <c r="D4" s="10">
        <f>1273.3-C4</f>
        <v>1081.3999999999999</v>
      </c>
      <c r="E4" s="10">
        <v>788.1</v>
      </c>
      <c r="F4" s="10">
        <f>+AB4-SUM(C4:E4)</f>
        <v>591.09999999999991</v>
      </c>
      <c r="G4" s="10">
        <v>1576.4</v>
      </c>
      <c r="H4" s="10">
        <f>4424.8-G4</f>
        <v>2848.4</v>
      </c>
      <c r="I4" s="10">
        <v>1446.6</v>
      </c>
      <c r="J4" s="10">
        <f>+AC4-SUM(G4:I4)</f>
        <v>1058.9000000000005</v>
      </c>
      <c r="K4" s="10">
        <v>2473.6999999999998</v>
      </c>
      <c r="L4" s="10">
        <f>6073.9-K4</f>
        <v>3600.2</v>
      </c>
      <c r="M4" s="10">
        <f>7823.1-SUM(K4:L4)</f>
        <v>1749.2000000000007</v>
      </c>
      <c r="N4" s="10">
        <f>+AD4-SUM(K4:M4)</f>
        <v>1322</v>
      </c>
      <c r="O4" s="10">
        <v>2328.9</v>
      </c>
      <c r="T4" s="10">
        <v>3789.5</v>
      </c>
      <c r="U4" s="10">
        <v>4260.3</v>
      </c>
      <c r="V4" s="10">
        <v>4967.2</v>
      </c>
      <c r="W4" s="10">
        <v>4868.2</v>
      </c>
      <c r="X4" s="10">
        <v>5134</v>
      </c>
      <c r="Y4" s="10">
        <v>5261.1</v>
      </c>
      <c r="Z4" s="10">
        <v>5566.2</v>
      </c>
      <c r="AA4" s="10">
        <v>1036</v>
      </c>
      <c r="AB4" s="10">
        <v>2652.5</v>
      </c>
      <c r="AC4" s="10">
        <v>6930.3</v>
      </c>
      <c r="AD4" s="10">
        <v>9145.1</v>
      </c>
    </row>
    <row r="5" spans="2:40" x14ac:dyDescent="0.2">
      <c r="B5" s="2" t="s">
        <v>10</v>
      </c>
      <c r="C5" s="10">
        <v>178.6</v>
      </c>
      <c r="D5" s="10">
        <f>881.6-C5</f>
        <v>703</v>
      </c>
      <c r="E5" s="10">
        <v>681.8</v>
      </c>
      <c r="F5" s="10">
        <f>+AB5-SUM(C5:E5)</f>
        <v>585</v>
      </c>
      <c r="G5" s="10">
        <v>1025.0999999999999</v>
      </c>
      <c r="H5" s="10">
        <f>2191.3-G5</f>
        <v>1166.2000000000003</v>
      </c>
      <c r="I5" s="10">
        <v>865.5</v>
      </c>
      <c r="J5" s="10">
        <f>+AC5-SUM(G5:I5)</f>
        <v>788.09999999999991</v>
      </c>
      <c r="K5" s="10">
        <v>1175.5999999999999</v>
      </c>
      <c r="L5" s="10">
        <f>2501.3-K5</f>
        <v>1325.7000000000003</v>
      </c>
      <c r="M5" s="10">
        <f>3450.8-SUM(K5:L5)</f>
        <v>949.5</v>
      </c>
      <c r="N5" s="10">
        <f>+AD5-SUM(K5:M5)</f>
        <v>847.89999999999964</v>
      </c>
      <c r="O5" s="10">
        <v>1297.2</v>
      </c>
      <c r="T5" s="10">
        <v>1247.2</v>
      </c>
      <c r="U5" s="10">
        <v>1393.7</v>
      </c>
      <c r="V5" s="10">
        <v>1568.6</v>
      </c>
      <c r="W5" s="10">
        <v>1779.6</v>
      </c>
      <c r="X5" s="10">
        <v>2017</v>
      </c>
      <c r="Y5" s="10">
        <v>2436.3000000000002</v>
      </c>
      <c r="Z5" s="10">
        <v>2928.6</v>
      </c>
      <c r="AA5" s="10">
        <v>599.79999999999995</v>
      </c>
      <c r="AB5" s="10">
        <v>2148.4</v>
      </c>
      <c r="AC5" s="10">
        <v>3844.9</v>
      </c>
      <c r="AD5" s="10">
        <v>4298.7</v>
      </c>
    </row>
    <row r="6" spans="2:40" s="11" customFormat="1" x14ac:dyDescent="0.2">
      <c r="B6" s="11" t="s">
        <v>8</v>
      </c>
      <c r="C6" s="12">
        <f>+SUM(C4:C5)</f>
        <v>370.5</v>
      </c>
      <c r="D6" s="12">
        <f>+SUM(D4:D5)</f>
        <v>1784.3999999999999</v>
      </c>
      <c r="E6" s="12">
        <f>+SUM(E4:E5)</f>
        <v>1469.9</v>
      </c>
      <c r="F6" s="12">
        <f>+SUM(F4:F5)</f>
        <v>1176.0999999999999</v>
      </c>
      <c r="G6" s="12">
        <f>+SUM(G4:G5)</f>
        <v>2601.5</v>
      </c>
      <c r="H6" s="12">
        <f>+SUM(H4:H5)</f>
        <v>4014.6000000000004</v>
      </c>
      <c r="I6" s="12">
        <f>+SUM(I4:I5)</f>
        <v>2312.1</v>
      </c>
      <c r="J6" s="12">
        <f>+SUM(J4:J5)</f>
        <v>1847.0000000000005</v>
      </c>
      <c r="K6" s="12">
        <f>+SUM(K4:K5)</f>
        <v>3649.2999999999997</v>
      </c>
      <c r="L6" s="12">
        <f>+SUM(L4:L5)</f>
        <v>4925.8999999999996</v>
      </c>
      <c r="M6" s="12">
        <f>+SUM(M4:M5)</f>
        <v>2698.7000000000007</v>
      </c>
      <c r="N6" s="12">
        <f>+SUM(N4:N5)</f>
        <v>2169.8999999999996</v>
      </c>
      <c r="O6" s="12">
        <f>+SUM(O4:O5)</f>
        <v>3626.1000000000004</v>
      </c>
      <c r="P6" s="12"/>
      <c r="Q6" s="12"/>
      <c r="R6" s="12"/>
      <c r="T6" s="12">
        <f>+SUM(T4:T5)</f>
        <v>5036.7</v>
      </c>
      <c r="U6" s="12">
        <f>+SUM(U4:U5)</f>
        <v>5654</v>
      </c>
      <c r="V6" s="12">
        <f>+SUM(V4:V5)</f>
        <v>6535.7999999999993</v>
      </c>
      <c r="W6" s="12">
        <f>+SUM(W4:W5)</f>
        <v>6647.7999999999993</v>
      </c>
      <c r="X6" s="12">
        <f>+SUM(X4:X5)</f>
        <v>7151</v>
      </c>
      <c r="Y6" s="12">
        <f>+SUM(Y4:Y5)</f>
        <v>7697.4000000000005</v>
      </c>
      <c r="Z6" s="12">
        <f>+SUM(Z4:Z5)</f>
        <v>8494.7999999999993</v>
      </c>
      <c r="AA6" s="12">
        <f>+SUM(AA4:AA5)</f>
        <v>1635.8</v>
      </c>
      <c r="AB6" s="12">
        <f>+SUM(AB4:AB5)</f>
        <v>4800.8999999999996</v>
      </c>
      <c r="AC6" s="12">
        <f>+SUM(AC4:AC5)</f>
        <v>10775.2</v>
      </c>
      <c r="AD6" s="12">
        <f>+SUM(AD4:AD5)</f>
        <v>13443.8</v>
      </c>
    </row>
    <row r="7" spans="2:40" x14ac:dyDescent="0.2">
      <c r="B7" s="2" t="s">
        <v>23</v>
      </c>
      <c r="C7" s="10">
        <v>156.6</v>
      </c>
      <c r="D7" s="10">
        <f>713.1-C7</f>
        <v>556.5</v>
      </c>
      <c r="E7" s="10">
        <v>596.9</v>
      </c>
      <c r="F7" s="10">
        <f t="shared" ref="F7:F13" si="1">+AB7-SUM(C7:E7)</f>
        <v>389.40000000000009</v>
      </c>
      <c r="G7" s="10">
        <v>1012.7</v>
      </c>
      <c r="H7" s="10">
        <f>2299.9-G7</f>
        <v>1287.2</v>
      </c>
      <c r="I7" s="10">
        <v>915.1</v>
      </c>
      <c r="J7" s="10">
        <f t="shared" ref="J7:J13" si="2">+AC7-SUM(G7:I7)</f>
        <v>810.69999999999982</v>
      </c>
      <c r="K7" s="10">
        <v>1338.1</v>
      </c>
      <c r="L7" s="10">
        <f>2814.6-K7</f>
        <v>1476.5</v>
      </c>
      <c r="M7" s="10">
        <f>4038.7-SUM(K7:L7)</f>
        <v>1224.0999999999999</v>
      </c>
      <c r="N7" s="10">
        <f t="shared" ref="N7:N13" si="3">+AD7-SUM(K7:M7)</f>
        <v>1103.9000000000005</v>
      </c>
      <c r="O7" s="10">
        <v>1421.9</v>
      </c>
      <c r="T7" s="10">
        <v>2013.1</v>
      </c>
      <c r="U7" s="10">
        <v>1992.1</v>
      </c>
      <c r="V7" s="10">
        <v>2071.4</v>
      </c>
      <c r="W7" s="10">
        <v>1913.4</v>
      </c>
      <c r="X7" s="10">
        <v>1902.8</v>
      </c>
      <c r="Y7" s="10">
        <v>640.5</v>
      </c>
      <c r="Z7" s="10">
        <v>748.7</v>
      </c>
      <c r="AA7" s="10">
        <v>571</v>
      </c>
      <c r="AB7" s="10">
        <v>1699.4</v>
      </c>
      <c r="AC7" s="10">
        <v>4025.7</v>
      </c>
      <c r="AD7" s="10">
        <v>5142.6000000000004</v>
      </c>
    </row>
    <row r="8" spans="2:40" x14ac:dyDescent="0.2">
      <c r="B8" s="2" t="s">
        <v>24</v>
      </c>
      <c r="C8" s="10">
        <v>87.1</v>
      </c>
      <c r="D8" s="10">
        <f>336.9-C8</f>
        <v>249.79999999999998</v>
      </c>
      <c r="E8" s="10">
        <v>193</v>
      </c>
      <c r="F8" s="10">
        <f t="shared" si="1"/>
        <v>160.20000000000005</v>
      </c>
      <c r="G8" s="10">
        <v>337.4</v>
      </c>
      <c r="H8" s="10">
        <f>692.9-G8</f>
        <v>355.5</v>
      </c>
      <c r="I8" s="10">
        <v>293</v>
      </c>
      <c r="J8" s="10">
        <f t="shared" si="2"/>
        <v>205.50000000000011</v>
      </c>
      <c r="K8" s="10">
        <v>414.1</v>
      </c>
      <c r="L8" s="10">
        <f>858.2-K8</f>
        <v>444.1</v>
      </c>
      <c r="M8" s="10">
        <f>1184.6-SUM(K8:L8)</f>
        <v>326.39999999999986</v>
      </c>
      <c r="N8" s="10">
        <f t="shared" si="3"/>
        <v>315.40000000000009</v>
      </c>
      <c r="O8" s="10">
        <v>467.2</v>
      </c>
      <c r="T8" s="10">
        <v>617.20000000000005</v>
      </c>
      <c r="U8" s="10">
        <v>712.8</v>
      </c>
      <c r="V8" s="10">
        <v>830.6</v>
      </c>
      <c r="W8" s="10">
        <v>864.8</v>
      </c>
      <c r="X8" s="10">
        <v>938.6</v>
      </c>
      <c r="Y8" s="10">
        <v>2427.3000000000002</v>
      </c>
      <c r="Z8" s="10">
        <v>2762.2</v>
      </c>
      <c r="AA8" s="10">
        <v>542.6</v>
      </c>
      <c r="AB8" s="10">
        <v>690.1</v>
      </c>
      <c r="AC8" s="10">
        <v>1191.4000000000001</v>
      </c>
      <c r="AD8" s="10">
        <v>1500</v>
      </c>
    </row>
    <row r="9" spans="2:40" x14ac:dyDescent="0.2">
      <c r="B9" s="2" t="s">
        <v>25</v>
      </c>
      <c r="C9" s="10">
        <v>111</v>
      </c>
      <c r="D9" s="10">
        <f>303.1-C9</f>
        <v>192.10000000000002</v>
      </c>
      <c r="E9" s="10">
        <v>250.6</v>
      </c>
      <c r="F9" s="10">
        <f t="shared" si="1"/>
        <v>259.69999999999993</v>
      </c>
      <c r="G9" s="10">
        <v>274.5</v>
      </c>
      <c r="H9" s="10">
        <f>583.7-G9</f>
        <v>309.20000000000005</v>
      </c>
      <c r="I9" s="10">
        <v>286.5</v>
      </c>
      <c r="J9" s="10">
        <f t="shared" si="2"/>
        <v>370.29999999999995</v>
      </c>
      <c r="K9" s="10">
        <v>359.8</v>
      </c>
      <c r="L9" s="10">
        <f>742.9-K9</f>
        <v>383.09999999999997</v>
      </c>
      <c r="M9" s="10">
        <f>1125.1-SUM(K9:L9)</f>
        <v>382.19999999999993</v>
      </c>
      <c r="N9" s="10">
        <f t="shared" si="3"/>
        <v>359.40000000000009</v>
      </c>
      <c r="O9" s="10">
        <v>448.3</v>
      </c>
      <c r="T9" s="10">
        <v>522</v>
      </c>
      <c r="U9" s="10">
        <v>547.4</v>
      </c>
      <c r="V9" s="10">
        <v>585.4</v>
      </c>
      <c r="W9" s="10">
        <v>633</v>
      </c>
      <c r="X9" s="10">
        <v>738.5</v>
      </c>
      <c r="Y9" s="10">
        <v>984</v>
      </c>
      <c r="Z9" s="10">
        <v>1106.9000000000001</v>
      </c>
      <c r="AA9" s="10">
        <v>472.2</v>
      </c>
      <c r="AB9" s="10">
        <v>813.4</v>
      </c>
      <c r="AC9" s="10">
        <v>1240.5</v>
      </c>
      <c r="AD9" s="10">
        <v>1484.5</v>
      </c>
    </row>
    <row r="10" spans="2:40" x14ac:dyDescent="0.2">
      <c r="B10" s="2" t="s">
        <v>26</v>
      </c>
      <c r="C10" s="10">
        <v>52.3</v>
      </c>
      <c r="D10" s="10">
        <f>230-C10</f>
        <v>177.7</v>
      </c>
      <c r="E10" s="10">
        <v>193.6</v>
      </c>
      <c r="F10" s="10">
        <f t="shared" si="1"/>
        <v>295.79999999999995</v>
      </c>
      <c r="G10" s="10">
        <v>249</v>
      </c>
      <c r="H10" s="10">
        <f>503.4-G10</f>
        <v>254.39999999999998</v>
      </c>
      <c r="I10" s="10">
        <v>212.7</v>
      </c>
      <c r="J10" s="10">
        <f t="shared" si="2"/>
        <v>207.10000000000014</v>
      </c>
      <c r="K10" s="10">
        <v>274.89999999999998</v>
      </c>
      <c r="L10" s="10">
        <f>561.9-K10</f>
        <v>287</v>
      </c>
      <c r="M10" s="10">
        <f>822.2-SUM(K10:L10)</f>
        <v>260.30000000000007</v>
      </c>
      <c r="N10" s="10">
        <f t="shared" si="3"/>
        <v>237.29999999999995</v>
      </c>
      <c r="O10" s="10">
        <v>313.2</v>
      </c>
      <c r="T10" s="10">
        <v>463.6</v>
      </c>
      <c r="U10" s="10">
        <v>502.9</v>
      </c>
      <c r="V10" s="10">
        <v>622.9</v>
      </c>
      <c r="W10" s="10">
        <v>655.7</v>
      </c>
      <c r="X10" s="10">
        <v>701.8</v>
      </c>
      <c r="Y10" s="10">
        <v>1061.5</v>
      </c>
      <c r="Z10" s="10">
        <v>1140.2</v>
      </c>
      <c r="AA10" s="10">
        <v>287.2</v>
      </c>
      <c r="AB10" s="10">
        <v>719.4</v>
      </c>
      <c r="AC10" s="10">
        <v>923.2</v>
      </c>
      <c r="AD10" s="10">
        <v>1059.5</v>
      </c>
    </row>
    <row r="11" spans="2:40" x14ac:dyDescent="0.2">
      <c r="B11" s="2" t="s">
        <v>27</v>
      </c>
      <c r="C11" s="10">
        <v>134.30000000000001</v>
      </c>
      <c r="D11" s="10">
        <f>336.2-C11</f>
        <v>201.89999999999998</v>
      </c>
      <c r="E11" s="10">
        <v>169.7</v>
      </c>
      <c r="F11" s="10">
        <f t="shared" si="1"/>
        <v>45.300000000000068</v>
      </c>
      <c r="G11" s="10">
        <v>226.4</v>
      </c>
      <c r="H11" s="10">
        <f>453.1-G11</f>
        <v>226.70000000000002</v>
      </c>
      <c r="I11" s="10">
        <v>200.5</v>
      </c>
      <c r="J11" s="10">
        <f t="shared" si="2"/>
        <v>250.10000000000002</v>
      </c>
      <c r="K11" s="10">
        <v>269.3</v>
      </c>
      <c r="L11" s="10">
        <f>558.8-K11</f>
        <v>289.49999999999994</v>
      </c>
      <c r="M11" s="10">
        <f>798.8-SUM(K11:L11)</f>
        <v>240</v>
      </c>
      <c r="N11" s="10">
        <f t="shared" si="3"/>
        <v>225.60000000000014</v>
      </c>
      <c r="O11" s="10">
        <v>307.5</v>
      </c>
      <c r="T11" s="10">
        <v>351.8</v>
      </c>
      <c r="U11" s="10">
        <v>377.7</v>
      </c>
      <c r="V11" s="10">
        <v>427.3</v>
      </c>
      <c r="W11" s="10">
        <v>497.5</v>
      </c>
      <c r="X11" s="10">
        <v>561</v>
      </c>
      <c r="Y11" s="10">
        <v>190.9</v>
      </c>
      <c r="Z11" s="10">
        <v>256.39999999999998</v>
      </c>
      <c r="AA11" s="10">
        <v>206.7</v>
      </c>
      <c r="AB11" s="10">
        <v>551.20000000000005</v>
      </c>
      <c r="AC11" s="10">
        <v>903.7</v>
      </c>
      <c r="AD11" s="10">
        <v>1024.4000000000001</v>
      </c>
    </row>
    <row r="12" spans="2:40" x14ac:dyDescent="0.2">
      <c r="B12" s="2" t="s">
        <v>28</v>
      </c>
      <c r="C12" s="10">
        <v>71.900000000000006</v>
      </c>
      <c r="D12" s="10">
        <f>168.3-C12</f>
        <v>96.4</v>
      </c>
      <c r="E12" s="10">
        <v>114.2</v>
      </c>
      <c r="F12" s="10">
        <f t="shared" si="1"/>
        <v>128.80000000000001</v>
      </c>
      <c r="G12" s="10">
        <v>173.7</v>
      </c>
      <c r="H12" s="10">
        <f>367.4-G12</f>
        <v>193.7</v>
      </c>
      <c r="I12" s="10">
        <v>160.1</v>
      </c>
      <c r="J12" s="10">
        <f t="shared" si="2"/>
        <v>146.89999999999998</v>
      </c>
      <c r="K12" s="10">
        <v>201.3</v>
      </c>
      <c r="L12" s="10">
        <f>440.5-K12</f>
        <v>239.2</v>
      </c>
      <c r="M12" s="10">
        <f>595.1-SUM(K12:L12)</f>
        <v>154.60000000000002</v>
      </c>
      <c r="N12" s="10">
        <f t="shared" si="3"/>
        <v>162.10000000000002</v>
      </c>
      <c r="O12" s="10">
        <v>219.3</v>
      </c>
      <c r="T12" s="10">
        <v>192.8</v>
      </c>
      <c r="U12" s="10">
        <v>233.9</v>
      </c>
      <c r="V12" s="10">
        <v>292.7</v>
      </c>
      <c r="W12" s="10">
        <v>322.3</v>
      </c>
      <c r="X12" s="10">
        <v>410.4</v>
      </c>
      <c r="Y12" s="10">
        <v>547.29999999999995</v>
      </c>
      <c r="Z12" s="10">
        <v>578.79999999999995</v>
      </c>
      <c r="AA12" s="10">
        <v>201.5</v>
      </c>
      <c r="AB12" s="10">
        <v>411.3</v>
      </c>
      <c r="AC12" s="10">
        <v>674.4</v>
      </c>
      <c r="AD12" s="10">
        <v>757.2</v>
      </c>
    </row>
    <row r="13" spans="2:40" x14ac:dyDescent="0.2">
      <c r="B13" s="2" t="s">
        <v>29</v>
      </c>
      <c r="C13" s="10">
        <v>61.8</v>
      </c>
      <c r="D13" s="10">
        <f>117.8-C13</f>
        <v>56</v>
      </c>
      <c r="E13" s="10">
        <v>68.599999999999994</v>
      </c>
      <c r="F13" s="10">
        <f t="shared" si="1"/>
        <v>69.300000000000011</v>
      </c>
      <c r="G13" s="10">
        <v>88.2</v>
      </c>
      <c r="H13" s="10">
        <f>200.3-G13</f>
        <v>112.10000000000001</v>
      </c>
      <c r="I13" s="10">
        <v>92.8</v>
      </c>
      <c r="J13" s="10">
        <f t="shared" si="2"/>
        <v>80.599999999999966</v>
      </c>
      <c r="K13" s="10">
        <v>80.599999999999994</v>
      </c>
      <c r="L13" s="10">
        <f>182.5-K13</f>
        <v>101.9</v>
      </c>
      <c r="M13" s="10">
        <f>312.5-SUM(K13:L13)</f>
        <v>130</v>
      </c>
      <c r="N13" s="10">
        <f t="shared" si="3"/>
        <v>102.39999999999998</v>
      </c>
      <c r="O13" s="10">
        <v>83</v>
      </c>
      <c r="T13" s="10">
        <v>116.1</v>
      </c>
      <c r="U13" s="10">
        <v>134.9</v>
      </c>
      <c r="V13" s="10">
        <v>130.30000000000001</v>
      </c>
      <c r="W13" s="10">
        <v>141</v>
      </c>
      <c r="X13" s="10">
        <v>148.30000000000001</v>
      </c>
      <c r="Y13" s="10">
        <v>745.2</v>
      </c>
      <c r="Z13" s="10">
        <v>736</v>
      </c>
      <c r="AA13" s="10">
        <v>187.3</v>
      </c>
      <c r="AB13" s="10">
        <v>255.7</v>
      </c>
      <c r="AC13" s="10">
        <v>373.7</v>
      </c>
      <c r="AD13" s="10">
        <v>414.9</v>
      </c>
    </row>
    <row r="14" spans="2:40" x14ac:dyDescent="0.2">
      <c r="B14" s="2" t="s">
        <v>30</v>
      </c>
      <c r="C14" s="10">
        <f>+SUM(C7:C13)</f>
        <v>674.99999999999989</v>
      </c>
      <c r="D14" s="10">
        <f>+SUM(D7:D13)</f>
        <v>1530.4</v>
      </c>
      <c r="E14" s="10">
        <f>+SUM(E7:E13)</f>
        <v>1586.6</v>
      </c>
      <c r="F14" s="10">
        <f>+SUM(F7:F13)</f>
        <v>1348.5</v>
      </c>
      <c r="G14" s="10">
        <f>+SUM(G7:G13)</f>
        <v>2361.8999999999996</v>
      </c>
      <c r="H14" s="10">
        <f>+SUM(H7:H13)</f>
        <v>2738.7999999999997</v>
      </c>
      <c r="I14" s="10">
        <f>+SUM(I7:I13)</f>
        <v>2160.7000000000003</v>
      </c>
      <c r="J14" s="10">
        <f>+SUM(J7:J13)</f>
        <v>2071.2000000000003</v>
      </c>
      <c r="K14" s="10">
        <f>+SUM(K7:K13)</f>
        <v>2938.1000000000004</v>
      </c>
      <c r="L14" s="10">
        <f>+SUM(L7:L13)</f>
        <v>3221.2999999999997</v>
      </c>
      <c r="M14" s="10">
        <f>+SUM(M7:M13)</f>
        <v>2717.6</v>
      </c>
      <c r="N14" s="10">
        <f>+SUM(N7:N13)</f>
        <v>2506.1000000000008</v>
      </c>
      <c r="O14" s="10">
        <f>+SUM(O7:O13)</f>
        <v>3260.4</v>
      </c>
      <c r="T14" s="10">
        <f>+SUM(T7:T13)</f>
        <v>4276.6000000000004</v>
      </c>
      <c r="U14" s="10">
        <f>+SUM(U7:U13)</f>
        <v>4501.6999999999989</v>
      </c>
      <c r="V14" s="10">
        <f>+SUM(V7:V13)</f>
        <v>4960.6000000000004</v>
      </c>
      <c r="W14" s="10">
        <f>+SUM(W7:W13)</f>
        <v>5027.7</v>
      </c>
      <c r="X14" s="10">
        <f>+SUM(X7:X13)</f>
        <v>5401.4</v>
      </c>
      <c r="Y14" s="10">
        <f>+SUM(Y7:Y13)</f>
        <v>6596.7</v>
      </c>
      <c r="Z14" s="10">
        <f>+SUM(Z7:Z13)</f>
        <v>7329.1999999999989</v>
      </c>
      <c r="AA14" s="10">
        <f>+SUM(AA7:AA13)</f>
        <v>2468.5</v>
      </c>
      <c r="AB14" s="10">
        <f>+SUM(AB7:AB13)</f>
        <v>5140.5</v>
      </c>
      <c r="AC14" s="10">
        <f>+SUM(AC7:AC13)</f>
        <v>9332.6</v>
      </c>
      <c r="AD14" s="10">
        <f>+SUM(AD7:AD13)</f>
        <v>11383.1</v>
      </c>
    </row>
    <row r="15" spans="2:40" s="11" customFormat="1" x14ac:dyDescent="0.2">
      <c r="B15" s="11" t="s">
        <v>31</v>
      </c>
      <c r="C15" s="12">
        <f>+C6-C14</f>
        <v>-304.49999999999989</v>
      </c>
      <c r="D15" s="12">
        <f>+D6-D14</f>
        <v>253.99999999999977</v>
      </c>
      <c r="E15" s="12">
        <f>+E6-E14</f>
        <v>-116.69999999999982</v>
      </c>
      <c r="F15" s="12">
        <f>+F6-F14</f>
        <v>-172.40000000000009</v>
      </c>
      <c r="G15" s="12">
        <f>+G6-G14</f>
        <v>239.60000000000036</v>
      </c>
      <c r="H15" s="12">
        <f>+H6-H14</f>
        <v>1275.8000000000006</v>
      </c>
      <c r="I15" s="12">
        <f>+I6-I14</f>
        <v>151.39999999999964</v>
      </c>
      <c r="J15" s="12">
        <f>+J6-J14</f>
        <v>-224.19999999999982</v>
      </c>
      <c r="K15" s="12">
        <f>+K6-K14</f>
        <v>711.19999999999936</v>
      </c>
      <c r="L15" s="12">
        <f>+L6-L14</f>
        <v>1704.6</v>
      </c>
      <c r="M15" s="12">
        <f>+M6-M14</f>
        <v>-18.899999999999181</v>
      </c>
      <c r="N15" s="12">
        <f>+N6-N14</f>
        <v>-336.20000000000118</v>
      </c>
      <c r="O15" s="12">
        <f>+O6-O14</f>
        <v>365.70000000000027</v>
      </c>
      <c r="P15" s="12"/>
      <c r="Q15" s="12"/>
      <c r="R15" s="12"/>
      <c r="T15" s="12">
        <f>+T6-T14</f>
        <v>760.09999999999945</v>
      </c>
      <c r="U15" s="12">
        <f>+U6-U14</f>
        <v>1152.3000000000011</v>
      </c>
      <c r="V15" s="12">
        <f>+V6-V14</f>
        <v>1575.1999999999989</v>
      </c>
      <c r="W15" s="12">
        <f>+W6-W14</f>
        <v>1620.0999999999995</v>
      </c>
      <c r="X15" s="12">
        <f>+X6-X14</f>
        <v>1749.6000000000004</v>
      </c>
      <c r="Y15" s="12">
        <f>+Y6-Y14</f>
        <v>1100.7000000000007</v>
      </c>
      <c r="Z15" s="12">
        <f>+Z6-Z14</f>
        <v>1165.6000000000004</v>
      </c>
      <c r="AA15" s="12">
        <f>+AA6-AA14</f>
        <v>-832.7</v>
      </c>
      <c r="AB15" s="12">
        <f>+AB6-AB14</f>
        <v>-339.60000000000036</v>
      </c>
      <c r="AC15" s="12">
        <f>+AC6-AC14</f>
        <v>1442.6000000000004</v>
      </c>
      <c r="AD15" s="12">
        <f>+AD6-AD14</f>
        <v>2060.6999999999989</v>
      </c>
    </row>
    <row r="16" spans="2:40" x14ac:dyDescent="0.2">
      <c r="B16" s="2" t="s">
        <v>32</v>
      </c>
      <c r="C16" s="10">
        <v>-21.4</v>
      </c>
      <c r="D16" s="10">
        <f>-44.7-C16</f>
        <v>-23.300000000000004</v>
      </c>
      <c r="E16" s="10">
        <v>-24</v>
      </c>
      <c r="F16" s="10">
        <f t="shared" ref="F16:F18" si="4">+AB16-SUM(C16:E16)</f>
        <v>-22.700000000000003</v>
      </c>
      <c r="G16" s="10">
        <v>-20.100000000000001</v>
      </c>
      <c r="H16" s="10">
        <f>-36.2-G16</f>
        <v>-16.100000000000001</v>
      </c>
      <c r="I16" s="10">
        <v>-5.9</v>
      </c>
      <c r="J16" s="10">
        <f t="shared" ref="J16:J18" si="5">+AC16-SUM(G16:I16)</f>
        <v>7.7000000000000028</v>
      </c>
      <c r="K16" s="10">
        <v>18.100000000000001</v>
      </c>
      <c r="L16" s="10">
        <f>31.8-K16</f>
        <v>13.7</v>
      </c>
      <c r="M16" s="10">
        <f>47.6-SUM(K16:L16)</f>
        <v>15.8</v>
      </c>
      <c r="N16" s="10">
        <f>+AD16-SUM(K16:M16)</f>
        <v>14.20000000000001</v>
      </c>
      <c r="O16" s="10">
        <v>28.1</v>
      </c>
      <c r="T16" s="10">
        <f>-99.3+27.4</f>
        <v>-71.900000000000006</v>
      </c>
      <c r="U16" s="10">
        <f>-74.2+17.9</f>
        <v>-56.300000000000004</v>
      </c>
      <c r="V16" s="10">
        <f>-71.1+17.9</f>
        <v>-53.199999999999996</v>
      </c>
      <c r="W16" s="10">
        <f>-67.2+4.2</f>
        <v>-63</v>
      </c>
      <c r="X16" s="10">
        <f>-60.1+2</f>
        <v>-58.1</v>
      </c>
      <c r="Y16" s="10">
        <f>-59.1+3.7</f>
        <v>-55.4</v>
      </c>
      <c r="Z16" s="10">
        <f>-480.1+21.4</f>
        <v>-458.70000000000005</v>
      </c>
      <c r="AA16" s="10">
        <f>-297.1+16</f>
        <v>-281.10000000000002</v>
      </c>
      <c r="AB16" s="10">
        <v>-91.4</v>
      </c>
      <c r="AC16" s="10">
        <f>-76.8+42.4</f>
        <v>-34.4</v>
      </c>
      <c r="AD16" s="10">
        <f>-83+144.8</f>
        <v>61.800000000000011</v>
      </c>
    </row>
    <row r="17" spans="2:30" x14ac:dyDescent="0.2">
      <c r="B17" s="2" t="s">
        <v>33</v>
      </c>
      <c r="C17" s="10">
        <f>+C15+C16</f>
        <v>-325.89999999999986</v>
      </c>
      <c r="D17" s="10">
        <f>+D15+D16</f>
        <v>230.69999999999976</v>
      </c>
      <c r="E17" s="10">
        <f>+E15+E16</f>
        <v>-140.69999999999982</v>
      </c>
      <c r="F17" s="10">
        <f>+F15+F16</f>
        <v>-195.10000000000008</v>
      </c>
      <c r="G17" s="10">
        <f>+G15+G16</f>
        <v>219.50000000000037</v>
      </c>
      <c r="H17" s="10">
        <f>+H15+H16</f>
        <v>1259.7000000000007</v>
      </c>
      <c r="I17" s="10">
        <f>+I15+I16</f>
        <v>145.49999999999963</v>
      </c>
      <c r="J17" s="10">
        <f>+J15+J16</f>
        <v>-216.49999999999983</v>
      </c>
      <c r="K17" s="10">
        <f>+K15+K16</f>
        <v>729.29999999999939</v>
      </c>
      <c r="L17" s="10">
        <f>+L15+L16</f>
        <v>1718.3</v>
      </c>
      <c r="M17" s="10">
        <f>+M15+M16</f>
        <v>-3.0999999999991807</v>
      </c>
      <c r="N17" s="10">
        <f>+N15+N16</f>
        <v>-322.00000000000119</v>
      </c>
      <c r="O17" s="10">
        <f>+O15+O16</f>
        <v>393.8000000000003</v>
      </c>
      <c r="T17" s="10">
        <f>+T15+T16</f>
        <v>688.19999999999948</v>
      </c>
      <c r="U17" s="10">
        <f>+U15+U16</f>
        <v>1096.0000000000011</v>
      </c>
      <c r="V17" s="10">
        <f>+V15+V16</f>
        <v>1521.9999999999989</v>
      </c>
      <c r="W17" s="10">
        <f>+W15+W16</f>
        <v>1557.0999999999995</v>
      </c>
      <c r="X17" s="10">
        <f>+X15+X16</f>
        <v>1691.5000000000005</v>
      </c>
      <c r="Y17" s="10">
        <f>+Y15+Y16</f>
        <v>1045.3000000000006</v>
      </c>
      <c r="Z17" s="10">
        <f>+Z15+Z16</f>
        <v>706.90000000000032</v>
      </c>
      <c r="AA17" s="10">
        <f>+AA15+AA16</f>
        <v>-1113.8000000000002</v>
      </c>
      <c r="AB17" s="10">
        <f>+AB15+AB16</f>
        <v>-431.00000000000034</v>
      </c>
      <c r="AC17" s="10">
        <f>+AC15+AC16</f>
        <v>1408.2000000000003</v>
      </c>
      <c r="AD17" s="10">
        <f>+AD15+AD16</f>
        <v>2122.4999999999991</v>
      </c>
    </row>
    <row r="18" spans="2:30" x14ac:dyDescent="0.2">
      <c r="B18" s="2" t="s">
        <v>34</v>
      </c>
      <c r="C18" s="10">
        <v>51.9</v>
      </c>
      <c r="D18" s="10">
        <f>-52.3-C18</f>
        <v>-104.19999999999999</v>
      </c>
      <c r="E18" s="10">
        <v>-37</v>
      </c>
      <c r="F18" s="10">
        <f t="shared" si="4"/>
        <v>-99.700000000000017</v>
      </c>
      <c r="G18" s="10">
        <v>15.5</v>
      </c>
      <c r="H18" s="10">
        <f>159.3-G18</f>
        <v>143.80000000000001</v>
      </c>
      <c r="I18" s="10">
        <v>10.7</v>
      </c>
      <c r="J18" s="10">
        <f t="shared" si="5"/>
        <v>-41.300000000000011</v>
      </c>
      <c r="K18" s="10">
        <v>77.8</v>
      </c>
      <c r="L18" s="10">
        <f>280.4-K18</f>
        <v>202.59999999999997</v>
      </c>
      <c r="M18" s="10">
        <f>268.3-SUM(K18:L18)</f>
        <v>-12.099999999999966</v>
      </c>
      <c r="N18" s="10">
        <f t="shared" ref="N16:N18" si="6">+AD18-SUM(K18:M18)</f>
        <v>-57.400000000000006</v>
      </c>
      <c r="O18" s="10">
        <v>40.799999999999997</v>
      </c>
      <c r="T18" s="10">
        <v>81.599999999999994</v>
      </c>
      <c r="U18" s="10">
        <v>115.7</v>
      </c>
      <c r="V18" s="10">
        <v>162.80000000000001</v>
      </c>
      <c r="W18" s="10">
        <v>154.4</v>
      </c>
      <c r="X18" s="10">
        <v>161.1</v>
      </c>
      <c r="Y18" s="10">
        <v>63.1</v>
      </c>
      <c r="Z18" s="10">
        <v>21.6</v>
      </c>
      <c r="AA18" s="10">
        <v>-93.6</v>
      </c>
      <c r="AB18" s="10">
        <v>-189</v>
      </c>
      <c r="AC18" s="10">
        <v>128.69999999999999</v>
      </c>
      <c r="AD18" s="10">
        <v>210.9</v>
      </c>
    </row>
    <row r="19" spans="2:30" s="11" customFormat="1" x14ac:dyDescent="0.2">
      <c r="B19" s="11" t="s">
        <v>35</v>
      </c>
      <c r="C19" s="12">
        <f>+C17-C18</f>
        <v>-377.79999999999984</v>
      </c>
      <c r="D19" s="12">
        <f>+D17-D18</f>
        <v>334.89999999999975</v>
      </c>
      <c r="E19" s="12">
        <f>+E17-E18</f>
        <v>-103.69999999999982</v>
      </c>
      <c r="F19" s="12">
        <f>+F17-F18</f>
        <v>-95.400000000000063</v>
      </c>
      <c r="G19" s="12">
        <f>+G17-G18</f>
        <v>204.00000000000037</v>
      </c>
      <c r="H19" s="12">
        <f>+H17-H18</f>
        <v>1115.9000000000008</v>
      </c>
      <c r="I19" s="12">
        <f>+I17-I18</f>
        <v>134.79999999999964</v>
      </c>
      <c r="J19" s="12">
        <f>+J17-J18</f>
        <v>-175.19999999999982</v>
      </c>
      <c r="K19" s="12">
        <f>+K17-K18</f>
        <v>651.49999999999943</v>
      </c>
      <c r="L19" s="12">
        <f>+L17-L18</f>
        <v>1515.7</v>
      </c>
      <c r="M19" s="12">
        <f>+M17-M18</f>
        <v>9.0000000000007851</v>
      </c>
      <c r="N19" s="12">
        <f>+N17-N18</f>
        <v>-264.60000000000116</v>
      </c>
      <c r="O19" s="12">
        <f>+O17-O18</f>
        <v>353.00000000000028</v>
      </c>
      <c r="P19" s="12"/>
      <c r="Q19" s="12"/>
      <c r="R19" s="12"/>
      <c r="T19" s="12">
        <f>+T17-T18</f>
        <v>606.59999999999945</v>
      </c>
      <c r="U19" s="12">
        <f>+U17-U18</f>
        <v>980.30000000000109</v>
      </c>
      <c r="V19" s="12">
        <f>+V17-V18</f>
        <v>1359.1999999999989</v>
      </c>
      <c r="W19" s="12">
        <f>+W17-W18</f>
        <v>1402.6999999999994</v>
      </c>
      <c r="X19" s="12">
        <f>+X17-X18</f>
        <v>1530.4000000000005</v>
      </c>
      <c r="Y19" s="12">
        <f>+Y17-Y18</f>
        <v>982.20000000000061</v>
      </c>
      <c r="Z19" s="12">
        <f>+Z17-Z18</f>
        <v>685.3000000000003</v>
      </c>
      <c r="AA19" s="12">
        <f>+AA17-AA18</f>
        <v>-1020.2000000000002</v>
      </c>
      <c r="AB19" s="12">
        <f>+AB17-AB18</f>
        <v>-242.00000000000034</v>
      </c>
      <c r="AC19" s="12">
        <f>+AC17-AC18</f>
        <v>1279.5000000000002</v>
      </c>
      <c r="AD19" s="12">
        <f>+AD17-AD18</f>
        <v>1911.599999999999</v>
      </c>
    </row>
    <row r="20" spans="2:30" x14ac:dyDescent="0.2">
      <c r="B20" s="2" t="s">
        <v>36</v>
      </c>
      <c r="C20" s="14">
        <f>+C19/C21</f>
        <v>-0.33484002481609487</v>
      </c>
      <c r="D20" s="14">
        <f>+D19/D21</f>
        <v>0.29679191775965946</v>
      </c>
      <c r="E20" s="14">
        <f>+E19/E21</f>
        <v>-9.1664456819587931E-2</v>
      </c>
      <c r="F20" s="14">
        <f>+F19/F21</f>
        <v>-8.4474616292798177E-2</v>
      </c>
      <c r="G20" s="14">
        <f>+G19/G21</f>
        <v>0.17905731589572577</v>
      </c>
      <c r="H20" s="14">
        <f>+H19/H21</f>
        <v>0.98049380546524989</v>
      </c>
      <c r="I20" s="14">
        <f>+I19/I21</f>
        <v>0.11827673949284867</v>
      </c>
      <c r="J20" s="14">
        <f>+J19/J21</f>
        <v>-0.15381463814345486</v>
      </c>
      <c r="K20" s="14">
        <f>+K19/K21</f>
        <v>0.56944323048684509</v>
      </c>
      <c r="L20" s="14">
        <f>+L19/L21</f>
        <v>1.3247967834979462</v>
      </c>
      <c r="M20" s="14">
        <f>+M19/M21</f>
        <v>7.8664452408013161E-3</v>
      </c>
      <c r="N20" s="14">
        <f>+N19/N21</f>
        <v>-0.23127349007953954</v>
      </c>
      <c r="O20" s="14">
        <f>+O19/O21</f>
        <v>0.30840468285864087</v>
      </c>
      <c r="T20" s="14">
        <f>+T19/T21</f>
        <v>0.4190963106259496</v>
      </c>
      <c r="U20" s="14">
        <f>+U19/U21</f>
        <v>0.70647160565004408</v>
      </c>
      <c r="V20" s="14">
        <f>+V19/V21</f>
        <v>1.0080094927321261</v>
      </c>
      <c r="W20" s="14">
        <f>+W19/W21</f>
        <v>1.115467196819085</v>
      </c>
      <c r="X20" s="14">
        <f>+X19/X21</f>
        <v>1.2710963455149507</v>
      </c>
      <c r="Y20" s="14">
        <f>+Y19/Y21</f>
        <v>0.85068421964316709</v>
      </c>
      <c r="Z20" s="14">
        <f>+Z19/Z21</f>
        <v>0.61198428290766238</v>
      </c>
      <c r="AA20" s="14">
        <f>+AA19/AA21</f>
        <v>-0.91876801152737764</v>
      </c>
      <c r="AB20" s="14">
        <f>+AB19/AB21</f>
        <v>-0.21406457319770045</v>
      </c>
      <c r="AC20" s="14">
        <f>+AC19/AC21</f>
        <v>1.122762372762373</v>
      </c>
      <c r="AD20" s="14">
        <f>+AD19/AD21</f>
        <v>1.6695196506550209</v>
      </c>
    </row>
    <row r="21" spans="2:30" x14ac:dyDescent="0.2">
      <c r="B21" s="2" t="s">
        <v>3</v>
      </c>
      <c r="C21" s="10">
        <v>1128.3</v>
      </c>
      <c r="D21" s="10">
        <v>1128.4000000000001</v>
      </c>
      <c r="E21" s="10">
        <v>1131.3</v>
      </c>
      <c r="F21" s="10">
        <f>+AVERAGE(C21:E21)</f>
        <v>1129.3333333333333</v>
      </c>
      <c r="G21" s="10">
        <v>1139.3</v>
      </c>
      <c r="H21" s="10">
        <v>1138.0999999999999</v>
      </c>
      <c r="I21" s="10">
        <v>1139.7</v>
      </c>
      <c r="J21" s="10">
        <f>+AVERAGE(G21:I21)</f>
        <v>1139.0333333333331</v>
      </c>
      <c r="K21" s="10">
        <v>1144.0999999999999</v>
      </c>
      <c r="L21" s="10">
        <v>1144.0999999999999</v>
      </c>
      <c r="M21" s="10">
        <v>1144.0999999999999</v>
      </c>
      <c r="N21" s="10">
        <f>+AVERAGE(K21:M21)</f>
        <v>1144.0999999999999</v>
      </c>
      <c r="O21" s="10">
        <v>1144.5999999999999</v>
      </c>
      <c r="T21" s="10">
        <v>1447.4</v>
      </c>
      <c r="U21" s="10">
        <v>1387.6</v>
      </c>
      <c r="V21" s="10">
        <v>1348.4</v>
      </c>
      <c r="W21" s="10">
        <v>1257.5</v>
      </c>
      <c r="X21" s="10">
        <v>1204</v>
      </c>
      <c r="Y21" s="10">
        <v>1154.5999999999999</v>
      </c>
      <c r="Z21" s="10">
        <v>1119.8</v>
      </c>
      <c r="AA21" s="10">
        <v>1110.4000000000001</v>
      </c>
      <c r="AB21" s="10">
        <v>1130.5</v>
      </c>
      <c r="AC21" s="10">
        <v>1139.5999999999999</v>
      </c>
      <c r="AD21" s="10">
        <v>1145</v>
      </c>
    </row>
    <row r="22" spans="2:30" x14ac:dyDescent="0.2"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2:30" s="4" customFormat="1" x14ac:dyDescent="0.2">
      <c r="B23" s="4" t="s">
        <v>37</v>
      </c>
      <c r="C23" s="5">
        <f>+C15/C6</f>
        <v>-0.8218623481781373</v>
      </c>
      <c r="D23" s="5">
        <f>+D15/D6</f>
        <v>0.14234476574759011</v>
      </c>
      <c r="E23" s="5">
        <f>+E15/E6</f>
        <v>-7.939315599700647E-2</v>
      </c>
      <c r="F23" s="5">
        <f>+F15/F6</f>
        <v>-0.14658617464501328</v>
      </c>
      <c r="G23" s="5">
        <f>+G15/G6</f>
        <v>9.2100711128195414E-2</v>
      </c>
      <c r="H23" s="5">
        <f>+H15/H6</f>
        <v>0.31779006625815787</v>
      </c>
      <c r="I23" s="5">
        <f>+I15/I6</f>
        <v>6.5481596816746521E-2</v>
      </c>
      <c r="J23" s="5">
        <f>+J15/J6</f>
        <v>-0.12138603140227383</v>
      </c>
      <c r="K23" s="5">
        <f>+K15/K6</f>
        <v>0.19488669059819674</v>
      </c>
      <c r="L23" s="5">
        <f>+L15/L6</f>
        <v>0.34604843784892103</v>
      </c>
      <c r="M23" s="5">
        <f>+M15/M6</f>
        <v>-7.0033719939226946E-3</v>
      </c>
      <c r="N23" s="5">
        <f>+N15/N6</f>
        <v>-0.15493801557675527</v>
      </c>
      <c r="O23" s="5">
        <f>+O15/O6</f>
        <v>0.10085215520807486</v>
      </c>
      <c r="P23" s="5"/>
      <c r="Q23" s="5"/>
      <c r="R23" s="5"/>
      <c r="T23" s="5">
        <f>+T15/T6</f>
        <v>0.15091230369090863</v>
      </c>
      <c r="U23" s="5">
        <f>+U15/U6</f>
        <v>0.20380261761584739</v>
      </c>
      <c r="V23" s="5">
        <f>+V15/V6</f>
        <v>0.24101104684965866</v>
      </c>
      <c r="W23" s="5">
        <f>+W15/W6</f>
        <v>0.24370468425644568</v>
      </c>
      <c r="X23" s="5">
        <f>+X15/X6</f>
        <v>0.24466508180674038</v>
      </c>
      <c r="Y23" s="5">
        <f>+Y15/Y6</f>
        <v>0.14299633642528656</v>
      </c>
      <c r="Z23" s="5">
        <f>+Z15/Z6</f>
        <v>0.13721335405189061</v>
      </c>
      <c r="AA23" s="5">
        <f>+AA15/AA6</f>
        <v>-0.50904756082650693</v>
      </c>
      <c r="AB23" s="5">
        <f>+AB15/AB6</f>
        <v>-7.0736736861838484E-2</v>
      </c>
      <c r="AC23" s="5">
        <f>+AC15/AC6</f>
        <v>0.133881505679709</v>
      </c>
      <c r="AD23" s="5">
        <f>+AD15/AD6</f>
        <v>0.15328255403978033</v>
      </c>
    </row>
    <row r="24" spans="2:30" s="4" customFormat="1" x14ac:dyDescent="0.2">
      <c r="B24" s="4" t="s">
        <v>38</v>
      </c>
      <c r="C24" s="5">
        <f>+C19/C6</f>
        <v>-1.0197031039136297</v>
      </c>
      <c r="D24" s="5">
        <f>+D19/D6</f>
        <v>0.18768213405066117</v>
      </c>
      <c r="E24" s="5">
        <f>+E19/E6</f>
        <v>-7.0549016939927753E-2</v>
      </c>
      <c r="F24" s="5">
        <f>+F19/F6</f>
        <v>-8.1115551398690644E-2</v>
      </c>
      <c r="G24" s="5">
        <f>+G19/G6</f>
        <v>7.8416298289448544E-2</v>
      </c>
      <c r="H24" s="5">
        <f>+H19/H6</f>
        <v>0.27796044437802037</v>
      </c>
      <c r="I24" s="5">
        <f>+I19/I6</f>
        <v>5.8301976558107198E-2</v>
      </c>
      <c r="J24" s="5">
        <f>+J19/J6</f>
        <v>-9.4856524093123867E-2</v>
      </c>
      <c r="K24" s="5">
        <f>+K19/K6</f>
        <v>0.178527388814293</v>
      </c>
      <c r="L24" s="5">
        <f>+L19/L6</f>
        <v>0.30770011571489475</v>
      </c>
      <c r="M24" s="5">
        <f>+M19/M6</f>
        <v>3.3349390447255283E-3</v>
      </c>
      <c r="N24" s="5">
        <f>+N19/N6</f>
        <v>-0.12194110327664925</v>
      </c>
      <c r="O24" s="5">
        <f>+O19/O6</f>
        <v>9.7349769725049023E-2</v>
      </c>
      <c r="P24" s="5"/>
      <c r="Q24" s="5"/>
      <c r="R24" s="5"/>
      <c r="T24" s="5">
        <f>+T19/T6</f>
        <v>0.12043599976174867</v>
      </c>
      <c r="U24" s="5">
        <f>+U19/U6</f>
        <v>0.17338167668906987</v>
      </c>
      <c r="V24" s="5">
        <f>+V19/V6</f>
        <v>0.20796229994797868</v>
      </c>
      <c r="W24" s="5">
        <f>+W19/W6</f>
        <v>0.21100213604500731</v>
      </c>
      <c r="X24" s="5">
        <f>+X19/X6</f>
        <v>0.21401202629002944</v>
      </c>
      <c r="Y24" s="5">
        <f>+Y19/Y6</f>
        <v>0.12760152778860401</v>
      </c>
      <c r="Z24" s="5">
        <f>+Z19/Z6</f>
        <v>8.0672882233837215E-2</v>
      </c>
      <c r="AA24" s="5">
        <f>+AA19/AA6</f>
        <v>-0.62367037535151004</v>
      </c>
      <c r="AB24" s="5">
        <f>+AB19/AB6</f>
        <v>-5.0407215313795405E-2</v>
      </c>
      <c r="AC24" s="5">
        <f>+AC19/AC6</f>
        <v>0.11874489568639099</v>
      </c>
      <c r="AD24" s="5">
        <f>+AD19/AD6</f>
        <v>0.14219193977893149</v>
      </c>
    </row>
    <row r="25" spans="2:30" s="4" customFormat="1" x14ac:dyDescent="0.2">
      <c r="B25" s="4" t="s">
        <v>39</v>
      </c>
      <c r="C25" s="5">
        <f>+C18/C6</f>
        <v>0.14008097165991903</v>
      </c>
      <c r="D25" s="5">
        <f>+D18/D6</f>
        <v>-5.8394978704326382E-2</v>
      </c>
      <c r="E25" s="5">
        <f>+E18/E6</f>
        <v>-2.5171780393224027E-2</v>
      </c>
      <c r="F25" s="5">
        <f>+F18/F6</f>
        <v>-8.4771703086472264E-2</v>
      </c>
      <c r="G25" s="5">
        <f>+G18/G6</f>
        <v>5.9581010955218139E-3</v>
      </c>
      <c r="H25" s="5">
        <f>+H18/H6</f>
        <v>3.581925970208738E-2</v>
      </c>
      <c r="I25" s="5">
        <f>+I18/I6</f>
        <v>4.6278275161108946E-3</v>
      </c>
      <c r="J25" s="5">
        <f>+J18/J6</f>
        <v>-2.2360584731997837E-2</v>
      </c>
      <c r="K25" s="5">
        <f>+K18/K6</f>
        <v>2.1319157098621654E-2</v>
      </c>
      <c r="L25" s="5">
        <f>+L18/L6</f>
        <v>4.1129539779532667E-2</v>
      </c>
      <c r="M25" s="5">
        <f>+M18/M6</f>
        <v>-4.4836402712416954E-3</v>
      </c>
      <c r="N25" s="5">
        <f>+N18/N6</f>
        <v>-2.6452831927738611E-2</v>
      </c>
      <c r="O25" s="5">
        <f>+O18/O6</f>
        <v>1.1251758087201124E-2</v>
      </c>
      <c r="P25" s="5"/>
      <c r="Q25" s="5"/>
      <c r="R25" s="5"/>
      <c r="T25" s="5">
        <f>+T18/T6</f>
        <v>1.6201084043123475E-2</v>
      </c>
      <c r="U25" s="5">
        <f>+U18/U6</f>
        <v>2.0463388751326497E-2</v>
      </c>
      <c r="V25" s="5">
        <f>+V18/V6</f>
        <v>2.4908962942562507E-2</v>
      </c>
      <c r="W25" s="5">
        <f>+W18/W6</f>
        <v>2.3225728812539492E-2</v>
      </c>
      <c r="X25" s="5">
        <f>+X18/X6</f>
        <v>2.2528317717801706E-2</v>
      </c>
      <c r="Y25" s="5">
        <f>+Y18/Y6</f>
        <v>8.1975732065372713E-3</v>
      </c>
      <c r="Z25" s="5">
        <f>+Z18/Z6</f>
        <v>2.5427320242972177E-3</v>
      </c>
      <c r="AA25" s="5">
        <f>+AA18/AA6</f>
        <v>-5.7219709010881525E-2</v>
      </c>
      <c r="AB25" s="5">
        <f>+AB18/AB6</f>
        <v>-3.936761857151784E-2</v>
      </c>
      <c r="AC25" s="5">
        <f>+AC18/AC6</f>
        <v>1.1944093845125842E-2</v>
      </c>
      <c r="AD25" s="5">
        <f>+AD18/AD6</f>
        <v>1.5687528823695684E-2</v>
      </c>
    </row>
    <row r="27" spans="2:30" s="6" customFormat="1" x14ac:dyDescent="0.2">
      <c r="B27" s="6" t="s">
        <v>40</v>
      </c>
      <c r="C27" s="7"/>
      <c r="D27" s="7"/>
      <c r="E27" s="7"/>
      <c r="F27" s="7"/>
      <c r="G27" s="7">
        <f>+G6/C6-1</f>
        <v>6.0215924426450744</v>
      </c>
      <c r="H27" s="7">
        <f>+H6/D6-1</f>
        <v>1.2498318762609286</v>
      </c>
      <c r="I27" s="7">
        <f>+I6/E6-1</f>
        <v>0.57296414722089928</v>
      </c>
      <c r="J27" s="7">
        <f>+J6/F6-1</f>
        <v>0.57044469007737497</v>
      </c>
      <c r="K27" s="7">
        <f>+K6/G6-1</f>
        <v>0.40276763405727456</v>
      </c>
      <c r="L27" s="7">
        <f>+L6/H6-1</f>
        <v>0.22699646291037689</v>
      </c>
      <c r="M27" s="7">
        <f>+M6/I6-1</f>
        <v>0.1672073007222874</v>
      </c>
      <c r="N27" s="7">
        <f>+N6/J6-1</f>
        <v>0.17482403898213272</v>
      </c>
      <c r="O27" s="7">
        <f>+O6/K6-1</f>
        <v>-6.3573836078150148E-3</v>
      </c>
      <c r="P27" s="7"/>
      <c r="Q27" s="7"/>
      <c r="R27" s="7"/>
      <c r="U27" s="6">
        <f>+U6/T6-1</f>
        <v>0.12256040661544265</v>
      </c>
      <c r="V27" s="6">
        <f>+V6/U6-1</f>
        <v>0.15596038203042073</v>
      </c>
      <c r="W27" s="6">
        <f>+W6/V6-1</f>
        <v>1.7136387282352672E-2</v>
      </c>
      <c r="X27" s="6">
        <f>+X6/W6-1</f>
        <v>7.5694214627395562E-2</v>
      </c>
      <c r="Y27" s="6">
        <f>+Y6/X6-1</f>
        <v>7.6408893860998583E-2</v>
      </c>
      <c r="Z27" s="6">
        <f>+Z6/Y6-1</f>
        <v>0.10359342115519499</v>
      </c>
      <c r="AA27" s="6">
        <f>+AA6/Z6-1</f>
        <v>-0.80743513678956536</v>
      </c>
      <c r="AB27" s="6">
        <f>+AB6/AA6-1</f>
        <v>1.9348942413497983</v>
      </c>
      <c r="AC27" s="6">
        <f>+AC6/AB6-1</f>
        <v>1.244412505988461</v>
      </c>
      <c r="AD27" s="6">
        <f>+AD6/AC6-1</f>
        <v>0.24766129631004508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2024-09-22T09:27:27Z</dcterms:created>
  <dcterms:modified xsi:type="dcterms:W3CDTF">2024-09-29T16:51:26Z</dcterms:modified>
</cp:coreProperties>
</file>