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nni\Desktop\CompanyResearchModels\Cybersecurities\"/>
    </mc:Choice>
  </mc:AlternateContent>
  <xr:revisionPtr revIDLastSave="0" documentId="13_ncr:1_{2C7F8B4A-37CE-4898-BCFE-7D0DE99D2182}" xr6:coauthVersionLast="47" xr6:coauthVersionMax="47" xr10:uidLastSave="{00000000-0000-0000-0000-000000000000}"/>
  <bookViews>
    <workbookView xWindow="0" yWindow="0" windowWidth="14400" windowHeight="15600" activeTab="1" xr2:uid="{A3E27456-FF8B-482A-8345-D465D8EF565F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13" i="2" l="1"/>
  <c r="AA9" i="2"/>
  <c r="AB9" i="2" s="1"/>
  <c r="AC9" i="2" s="1"/>
  <c r="AD9" i="2" s="1"/>
  <c r="AE9" i="2" s="1"/>
  <c r="AF9" i="2" s="1"/>
  <c r="AG9" i="2" s="1"/>
  <c r="AH9" i="2" s="1"/>
  <c r="AI9" i="2" s="1"/>
  <c r="AJ9" i="2" s="1"/>
  <c r="AK9" i="2" s="1"/>
  <c r="AL9" i="2" s="1"/>
  <c r="Z9" i="2"/>
  <c r="AG8" i="2"/>
  <c r="AH8" i="2" s="1"/>
  <c r="AI8" i="2" s="1"/>
  <c r="AJ8" i="2" s="1"/>
  <c r="AK8" i="2" s="1"/>
  <c r="AL8" i="2" s="1"/>
  <c r="AF8" i="2"/>
  <c r="AE8" i="2"/>
  <c r="AA8" i="2"/>
  <c r="AB8" i="2" s="1"/>
  <c r="AC8" i="2" s="1"/>
  <c r="AD8" i="2" s="1"/>
  <c r="Z8" i="2"/>
  <c r="AL7" i="2"/>
  <c r="AK7" i="2"/>
  <c r="AJ7" i="2"/>
  <c r="AI7" i="2"/>
  <c r="AH7" i="2"/>
  <c r="AG7" i="2"/>
  <c r="AF7" i="2"/>
  <c r="AE7" i="2"/>
  <c r="AD7" i="2"/>
  <c r="AC7" i="2"/>
  <c r="AB7" i="2"/>
  <c r="AA7" i="2"/>
  <c r="Z7" i="2"/>
  <c r="Y15" i="2"/>
  <c r="Y12" i="2"/>
  <c r="X12" i="2"/>
  <c r="Y9" i="2"/>
  <c r="Y8" i="2"/>
  <c r="AL5" i="2"/>
  <c r="AK5" i="2"/>
  <c r="AJ5" i="2"/>
  <c r="AI5" i="2"/>
  <c r="AH5" i="2"/>
  <c r="AG5" i="2"/>
  <c r="AF5" i="2"/>
  <c r="AE5" i="2"/>
  <c r="AD5" i="2"/>
  <c r="AC5" i="2"/>
  <c r="AB5" i="2"/>
  <c r="AA5" i="2"/>
  <c r="Z5" i="2"/>
  <c r="AB4" i="2"/>
  <c r="AC4" i="2" s="1"/>
  <c r="AD4" i="2" s="1"/>
  <c r="AE4" i="2" s="1"/>
  <c r="AF4" i="2" s="1"/>
  <c r="AG4" i="2" s="1"/>
  <c r="AH4" i="2" s="1"/>
  <c r="AI4" i="2" s="1"/>
  <c r="AJ4" i="2" s="1"/>
  <c r="AK4" i="2" s="1"/>
  <c r="AL4" i="2" s="1"/>
  <c r="AA4" i="2"/>
  <c r="Z4" i="2"/>
  <c r="Y4" i="2"/>
  <c r="Y5" i="2" s="1"/>
  <c r="X7" i="2"/>
  <c r="X8" i="2"/>
  <c r="X4" i="2"/>
  <c r="Q4" i="2"/>
  <c r="P4" i="2"/>
  <c r="O72" i="2"/>
  <c r="O70" i="2"/>
  <c r="O68" i="2"/>
  <c r="O67" i="2"/>
  <c r="O66" i="2"/>
  <c r="O65" i="2"/>
  <c r="O62" i="2"/>
  <c r="O61" i="2"/>
  <c r="O51" i="2"/>
  <c r="O56" i="2"/>
  <c r="O55" i="2"/>
  <c r="O54" i="2"/>
  <c r="O53" i="2"/>
  <c r="O52" i="2"/>
  <c r="O42" i="2"/>
  <c r="O41" i="2"/>
  <c r="O44" i="2" s="1"/>
  <c r="O46" i="2" s="1"/>
  <c r="O31" i="2"/>
  <c r="O35" i="2"/>
  <c r="O29" i="2"/>
  <c r="O28" i="2"/>
  <c r="O26" i="2"/>
  <c r="O20" i="2"/>
  <c r="O10" i="2"/>
  <c r="O6" i="2"/>
  <c r="O21" i="2" s="1"/>
  <c r="W20" i="2"/>
  <c r="V20" i="2"/>
  <c r="U20" i="2"/>
  <c r="T20" i="2"/>
  <c r="S20" i="2"/>
  <c r="M20" i="2"/>
  <c r="L20" i="2"/>
  <c r="K20" i="2"/>
  <c r="J20" i="2"/>
  <c r="I20" i="2"/>
  <c r="H20" i="2"/>
  <c r="G20" i="2"/>
  <c r="F20" i="2"/>
  <c r="E20" i="2"/>
  <c r="D20" i="2"/>
  <c r="C20" i="2"/>
  <c r="B20" i="2"/>
  <c r="N20" i="2"/>
  <c r="F28" i="2"/>
  <c r="N28" i="2"/>
  <c r="M28" i="2"/>
  <c r="L28" i="2"/>
  <c r="K28" i="2"/>
  <c r="J28" i="2"/>
  <c r="I28" i="2"/>
  <c r="H28" i="2"/>
  <c r="G28" i="2"/>
  <c r="N65" i="2"/>
  <c r="N67" i="2" s="1"/>
  <c r="N62" i="2"/>
  <c r="N60" i="2"/>
  <c r="O60" i="2" s="1"/>
  <c r="O63" i="2" s="1"/>
  <c r="N57" i="2"/>
  <c r="O57" i="2" s="1"/>
  <c r="N52" i="2"/>
  <c r="N58" i="2" s="1"/>
  <c r="N42" i="2"/>
  <c r="N41" i="2"/>
  <c r="N35" i="2"/>
  <c r="N31" i="2"/>
  <c r="N29" i="2"/>
  <c r="N26" i="2"/>
  <c r="AO24" i="2"/>
  <c r="Y7" i="2" l="1"/>
  <c r="O58" i="2"/>
  <c r="O37" i="2"/>
  <c r="N63" i="2"/>
  <c r="N68" i="2" s="1"/>
  <c r="O11" i="2"/>
  <c r="O14" i="2" s="1"/>
  <c r="O16" i="2" s="1"/>
  <c r="O50" i="2" s="1"/>
  <c r="N70" i="2"/>
  <c r="N44" i="2"/>
  <c r="N37" i="2"/>
  <c r="Y13" i="2"/>
  <c r="X13" i="2"/>
  <c r="Z13" i="2" s="1"/>
  <c r="Q8" i="2"/>
  <c r="P8" i="2"/>
  <c r="Q9" i="2"/>
  <c r="P9" i="2"/>
  <c r="Q7" i="2"/>
  <c r="P7" i="2"/>
  <c r="S10" i="2"/>
  <c r="S6" i="2"/>
  <c r="T26" i="2"/>
  <c r="T10" i="2"/>
  <c r="T6" i="2"/>
  <c r="T21" i="2" s="1"/>
  <c r="V26" i="2"/>
  <c r="U26" i="2"/>
  <c r="U10" i="2"/>
  <c r="U6" i="2"/>
  <c r="U21" i="2" s="1"/>
  <c r="W26" i="2"/>
  <c r="V10" i="2"/>
  <c r="V6" i="2"/>
  <c r="V21" i="2" s="1"/>
  <c r="W10" i="2"/>
  <c r="W6" i="2"/>
  <c r="W21" i="2" s="1"/>
  <c r="M62" i="2"/>
  <c r="K65" i="2"/>
  <c r="K66" i="2"/>
  <c r="K55" i="2"/>
  <c r="K56" i="2"/>
  <c r="L56" i="2" s="1"/>
  <c r="M56" i="2" s="1"/>
  <c r="K54" i="2"/>
  <c r="L54" i="2" s="1"/>
  <c r="M54" i="2" s="1"/>
  <c r="K53" i="2"/>
  <c r="K51" i="2"/>
  <c r="J61" i="2"/>
  <c r="K61" i="2" s="1"/>
  <c r="J60" i="2"/>
  <c r="J57" i="2"/>
  <c r="J52" i="2"/>
  <c r="H62" i="2"/>
  <c r="G66" i="2"/>
  <c r="G65" i="2"/>
  <c r="G61" i="2"/>
  <c r="G56" i="2"/>
  <c r="G54" i="2"/>
  <c r="H54" i="2" s="1"/>
  <c r="I54" i="2" s="1"/>
  <c r="G53" i="2"/>
  <c r="G51" i="2"/>
  <c r="F67" i="2"/>
  <c r="F60" i="2"/>
  <c r="F57" i="2"/>
  <c r="F52" i="2"/>
  <c r="F42" i="2"/>
  <c r="F41" i="2"/>
  <c r="F35" i="2"/>
  <c r="F31" i="2"/>
  <c r="F29" i="2"/>
  <c r="G42" i="2"/>
  <c r="G41" i="2"/>
  <c r="G29" i="2"/>
  <c r="G35" i="2"/>
  <c r="G31" i="2"/>
  <c r="H42" i="2"/>
  <c r="H41" i="2"/>
  <c r="H44" i="2" s="1"/>
  <c r="H32" i="2"/>
  <c r="H35" i="2"/>
  <c r="H31" i="2"/>
  <c r="H29" i="2"/>
  <c r="I42" i="2"/>
  <c r="I41" i="2"/>
  <c r="I35" i="2"/>
  <c r="I31" i="2"/>
  <c r="I29" i="2"/>
  <c r="J42" i="2"/>
  <c r="J41" i="2"/>
  <c r="J35" i="2"/>
  <c r="J31" i="2"/>
  <c r="J29" i="2"/>
  <c r="K42" i="2"/>
  <c r="K41" i="2"/>
  <c r="K35" i="2"/>
  <c r="K31" i="2"/>
  <c r="K29" i="2"/>
  <c r="L42" i="2"/>
  <c r="L41" i="2"/>
  <c r="L29" i="2"/>
  <c r="L35" i="2"/>
  <c r="L31" i="2"/>
  <c r="M42" i="2"/>
  <c r="M41" i="2"/>
  <c r="M31" i="2"/>
  <c r="M35" i="2"/>
  <c r="M29" i="2"/>
  <c r="W28" i="2" s="1"/>
  <c r="AO22" i="2" s="1"/>
  <c r="F26" i="2"/>
  <c r="I26" i="2"/>
  <c r="H26" i="2"/>
  <c r="G26" i="2"/>
  <c r="B10" i="2"/>
  <c r="B6" i="2"/>
  <c r="B21" i="2" s="1"/>
  <c r="C10" i="2"/>
  <c r="C6" i="2"/>
  <c r="D10" i="2"/>
  <c r="D6" i="2"/>
  <c r="D21" i="2" s="1"/>
  <c r="E10" i="2"/>
  <c r="E6" i="2"/>
  <c r="E21" i="2" s="1"/>
  <c r="F10" i="2"/>
  <c r="F6" i="2"/>
  <c r="J26" i="2"/>
  <c r="J10" i="2"/>
  <c r="J6" i="2"/>
  <c r="J21" i="2" s="1"/>
  <c r="G10" i="2"/>
  <c r="G6" i="2"/>
  <c r="G21" i="2" s="1"/>
  <c r="K26" i="2"/>
  <c r="K10" i="2"/>
  <c r="K6" i="2"/>
  <c r="K21" i="2" s="1"/>
  <c r="H10" i="2"/>
  <c r="H6" i="2"/>
  <c r="L26" i="2"/>
  <c r="L10" i="2"/>
  <c r="L6" i="2"/>
  <c r="M26" i="2"/>
  <c r="I10" i="2"/>
  <c r="I6" i="2"/>
  <c r="M10" i="2"/>
  <c r="M6" i="2"/>
  <c r="X3" i="2"/>
  <c r="Y3" i="2" s="1"/>
  <c r="Z3" i="2" s="1"/>
  <c r="AA3" i="2" s="1"/>
  <c r="AB3" i="2" s="1"/>
  <c r="AC3" i="2" s="1"/>
  <c r="AD3" i="2" s="1"/>
  <c r="AE3" i="2" s="1"/>
  <c r="AF3" i="2" s="1"/>
  <c r="AG3" i="2" s="1"/>
  <c r="AH3" i="2" s="1"/>
  <c r="AI3" i="2" s="1"/>
  <c r="AJ3" i="2" s="1"/>
  <c r="AK3" i="2" s="1"/>
  <c r="AL3" i="2" s="1"/>
  <c r="J6" i="1"/>
  <c r="J5" i="1"/>
  <c r="J8" i="1" s="1"/>
  <c r="X20" i="2" l="1"/>
  <c r="F58" i="2"/>
  <c r="F70" i="2" s="1"/>
  <c r="O22" i="2"/>
  <c r="N46" i="2"/>
  <c r="K67" i="2"/>
  <c r="W11" i="2"/>
  <c r="W22" i="2" s="1"/>
  <c r="AA13" i="2"/>
  <c r="I44" i="2"/>
  <c r="K44" i="2"/>
  <c r="G37" i="2"/>
  <c r="N10" i="2"/>
  <c r="X9" i="2"/>
  <c r="L44" i="2"/>
  <c r="AB13" i="2"/>
  <c r="Q10" i="2"/>
  <c r="P10" i="2"/>
  <c r="N6" i="2"/>
  <c r="N21" i="2" s="1"/>
  <c r="M44" i="2"/>
  <c r="J44" i="2"/>
  <c r="L37" i="2"/>
  <c r="G44" i="2"/>
  <c r="H51" i="2"/>
  <c r="I51" i="2" s="1"/>
  <c r="J63" i="2"/>
  <c r="K57" i="2"/>
  <c r="L55" i="2"/>
  <c r="M55" i="2" s="1"/>
  <c r="G52" i="2"/>
  <c r="H52" i="2" s="1"/>
  <c r="K60" i="2"/>
  <c r="L60" i="2" s="1"/>
  <c r="M60" i="2" s="1"/>
  <c r="H53" i="2"/>
  <c r="I53" i="2" s="1"/>
  <c r="H56" i="2"/>
  <c r="I56" i="2" s="1"/>
  <c r="L61" i="2"/>
  <c r="M61" i="2" s="1"/>
  <c r="G57" i="2"/>
  <c r="L65" i="2"/>
  <c r="L11" i="2"/>
  <c r="L14" i="2" s="1"/>
  <c r="F63" i="2"/>
  <c r="G60" i="2"/>
  <c r="G63" i="2" s="1"/>
  <c r="L66" i="2"/>
  <c r="M66" i="2" s="1"/>
  <c r="H61" i="2"/>
  <c r="I61" i="2" s="1"/>
  <c r="I62" i="2"/>
  <c r="K52" i="2"/>
  <c r="L51" i="2"/>
  <c r="M51" i="2" s="1"/>
  <c r="H65" i="2"/>
  <c r="I65" i="2" s="1"/>
  <c r="L53" i="2"/>
  <c r="M53" i="2" s="1"/>
  <c r="F44" i="2"/>
  <c r="S11" i="2"/>
  <c r="S22" i="2" s="1"/>
  <c r="S21" i="2"/>
  <c r="T11" i="2"/>
  <c r="U11" i="2"/>
  <c r="U22" i="2" s="1"/>
  <c r="V11" i="2"/>
  <c r="G67" i="2"/>
  <c r="F37" i="2"/>
  <c r="H37" i="2"/>
  <c r="H45" i="2" s="1"/>
  <c r="H46" i="2" s="1"/>
  <c r="I37" i="2"/>
  <c r="J37" i="2"/>
  <c r="K37" i="2"/>
  <c r="M11" i="2"/>
  <c r="M22" i="2" s="1"/>
  <c r="M37" i="2"/>
  <c r="M21" i="2"/>
  <c r="B11" i="2"/>
  <c r="C11" i="2"/>
  <c r="C14" i="2" s="1"/>
  <c r="C21" i="2"/>
  <c r="D11" i="2"/>
  <c r="E11" i="2"/>
  <c r="F11" i="2"/>
  <c r="F22" i="2" s="1"/>
  <c r="F21" i="2"/>
  <c r="J11" i="2"/>
  <c r="G11" i="2"/>
  <c r="G14" i="2" s="1"/>
  <c r="K11" i="2"/>
  <c r="H11" i="2"/>
  <c r="H22" i="2" s="1"/>
  <c r="H21" i="2"/>
  <c r="L21" i="2"/>
  <c r="I11" i="2"/>
  <c r="I14" i="2" s="1"/>
  <c r="I16" i="2" s="1"/>
  <c r="I21" i="2"/>
  <c r="Z20" i="2" l="1"/>
  <c r="I45" i="2"/>
  <c r="I46" i="2" s="1"/>
  <c r="F68" i="2"/>
  <c r="O24" i="2"/>
  <c r="W14" i="2"/>
  <c r="W24" i="2" s="1"/>
  <c r="N11" i="2"/>
  <c r="X10" i="2"/>
  <c r="M45" i="2"/>
  <c r="M46" i="2" s="1"/>
  <c r="X26" i="2"/>
  <c r="K45" i="2"/>
  <c r="K46" i="2" s="1"/>
  <c r="J45" i="2"/>
  <c r="J46" i="2" s="1"/>
  <c r="G45" i="2"/>
  <c r="G46" i="2" s="1"/>
  <c r="L45" i="2"/>
  <c r="L46" i="2" s="1"/>
  <c r="K63" i="2"/>
  <c r="L63" i="2"/>
  <c r="AD13" i="2"/>
  <c r="P5" i="2"/>
  <c r="K58" i="2"/>
  <c r="K70" i="2" s="1"/>
  <c r="H60" i="2"/>
  <c r="H63" i="2" s="1"/>
  <c r="I52" i="2"/>
  <c r="F45" i="2"/>
  <c r="F46" i="2" s="1"/>
  <c r="L67" i="2"/>
  <c r="L52" i="2"/>
  <c r="M52" i="2" s="1"/>
  <c r="H57" i="2"/>
  <c r="I57" i="2" s="1"/>
  <c r="M63" i="2"/>
  <c r="L22" i="2"/>
  <c r="I17" i="2"/>
  <c r="I50" i="2"/>
  <c r="G58" i="2"/>
  <c r="G22" i="2"/>
  <c r="L57" i="2"/>
  <c r="M65" i="2"/>
  <c r="M67" i="2" s="1"/>
  <c r="S14" i="2"/>
  <c r="S16" i="2" s="1"/>
  <c r="T22" i="2"/>
  <c r="T14" i="2"/>
  <c r="U14" i="2"/>
  <c r="U24" i="2" s="1"/>
  <c r="V22" i="2"/>
  <c r="V14" i="2"/>
  <c r="F14" i="2"/>
  <c r="F16" i="2" s="1"/>
  <c r="M14" i="2"/>
  <c r="M16" i="2" s="1"/>
  <c r="M50" i="2" s="1"/>
  <c r="C22" i="2"/>
  <c r="B22" i="2"/>
  <c r="B14" i="2"/>
  <c r="C24" i="2"/>
  <c r="C16" i="2"/>
  <c r="D22" i="2"/>
  <c r="D14" i="2"/>
  <c r="E22" i="2"/>
  <c r="E14" i="2"/>
  <c r="J22" i="2"/>
  <c r="J14" i="2"/>
  <c r="G24" i="2"/>
  <c r="G16" i="2"/>
  <c r="K22" i="2"/>
  <c r="K14" i="2"/>
  <c r="H14" i="2"/>
  <c r="H24" i="2" s="1"/>
  <c r="L24" i="2"/>
  <c r="L16" i="2"/>
  <c r="I24" i="2"/>
  <c r="I23" i="2"/>
  <c r="I22" i="2"/>
  <c r="Y20" i="2" l="1"/>
  <c r="L50" i="2"/>
  <c r="Z26" i="2"/>
  <c r="O23" i="2"/>
  <c r="O17" i="2"/>
  <c r="G50" i="2"/>
  <c r="F50" i="2"/>
  <c r="W16" i="2"/>
  <c r="W17" i="2" s="1"/>
  <c r="AE13" i="2"/>
  <c r="N14" i="2"/>
  <c r="N22" i="2"/>
  <c r="P12" i="2"/>
  <c r="I60" i="2"/>
  <c r="Z10" i="2"/>
  <c r="Y26" i="2"/>
  <c r="Y6" i="2"/>
  <c r="Y21" i="2" s="1"/>
  <c r="K68" i="2"/>
  <c r="P6" i="2"/>
  <c r="P11" i="2" s="1"/>
  <c r="AF13" i="2"/>
  <c r="Q5" i="2"/>
  <c r="Q6" i="2" s="1"/>
  <c r="Q11" i="2" s="1"/>
  <c r="L58" i="2"/>
  <c r="L68" i="2" s="1"/>
  <c r="H58" i="2"/>
  <c r="H70" i="2" s="1"/>
  <c r="M57" i="2"/>
  <c r="M58" i="2" s="1"/>
  <c r="G70" i="2"/>
  <c r="F24" i="2"/>
  <c r="G68" i="2"/>
  <c r="S24" i="2"/>
  <c r="S23" i="2"/>
  <c r="S17" i="2"/>
  <c r="T24" i="2"/>
  <c r="T16" i="2"/>
  <c r="U16" i="2"/>
  <c r="U23" i="2" s="1"/>
  <c r="V16" i="2"/>
  <c r="V24" i="2"/>
  <c r="M24" i="2"/>
  <c r="M17" i="2"/>
  <c r="M23" i="2"/>
  <c r="B24" i="2"/>
  <c r="B16" i="2"/>
  <c r="C17" i="2"/>
  <c r="C23" i="2"/>
  <c r="D24" i="2"/>
  <c r="D16" i="2"/>
  <c r="E24" i="2"/>
  <c r="E16" i="2"/>
  <c r="F23" i="2"/>
  <c r="F17" i="2"/>
  <c r="J24" i="2"/>
  <c r="J16" i="2"/>
  <c r="G23" i="2"/>
  <c r="G17" i="2"/>
  <c r="K24" i="2"/>
  <c r="K16" i="2"/>
  <c r="H16" i="2"/>
  <c r="L23" i="2"/>
  <c r="L17" i="2"/>
  <c r="AA20" i="2" l="1"/>
  <c r="Y10" i="2"/>
  <c r="Y11" i="2" s="1"/>
  <c r="Y22" i="2" s="1"/>
  <c r="AH13" i="2"/>
  <c r="AB20" i="2"/>
  <c r="K48" i="2"/>
  <c r="K50" i="2"/>
  <c r="AG13" i="2"/>
  <c r="AI13" i="2" s="1"/>
  <c r="AK13" i="2" s="1"/>
  <c r="I48" i="2"/>
  <c r="J50" i="2"/>
  <c r="M48" i="2"/>
  <c r="L48" i="2"/>
  <c r="J48" i="2"/>
  <c r="H48" i="2"/>
  <c r="G48" i="2"/>
  <c r="F48" i="2"/>
  <c r="W23" i="2"/>
  <c r="N16" i="2"/>
  <c r="O48" i="2" s="1"/>
  <c r="N24" i="2"/>
  <c r="X5" i="2"/>
  <c r="X6" i="2" s="1"/>
  <c r="X11" i="2" s="1"/>
  <c r="P14" i="2"/>
  <c r="P15" i="2" s="1"/>
  <c r="Z6" i="2"/>
  <c r="L70" i="2"/>
  <c r="N72" i="2" s="1"/>
  <c r="H17" i="2"/>
  <c r="H50" i="2"/>
  <c r="M70" i="2"/>
  <c r="M68" i="2"/>
  <c r="T23" i="2"/>
  <c r="T17" i="2"/>
  <c r="U17" i="2"/>
  <c r="V23" i="2"/>
  <c r="V17" i="2"/>
  <c r="H23" i="2"/>
  <c r="B23" i="2"/>
  <c r="B17" i="2"/>
  <c r="D23" i="2"/>
  <c r="D17" i="2"/>
  <c r="E23" i="2"/>
  <c r="E17" i="2"/>
  <c r="J23" i="2"/>
  <c r="J17" i="2"/>
  <c r="K23" i="2"/>
  <c r="K17" i="2"/>
  <c r="AA10" i="2" l="1"/>
  <c r="AC20" i="2"/>
  <c r="AJ13" i="2"/>
  <c r="X21" i="2"/>
  <c r="Z11" i="2"/>
  <c r="Z22" i="2" s="1"/>
  <c r="Z21" i="2"/>
  <c r="N48" i="2"/>
  <c r="N50" i="2"/>
  <c r="N23" i="2"/>
  <c r="N17" i="2"/>
  <c r="P16" i="2"/>
  <c r="Q12" i="2" s="1"/>
  <c r="X14" i="2" s="1"/>
  <c r="AB10" i="2"/>
  <c r="AA26" i="2"/>
  <c r="AA6" i="2"/>
  <c r="X22" i="2"/>
  <c r="AL13" i="2" l="1"/>
  <c r="AD20" i="2"/>
  <c r="AA11" i="2"/>
  <c r="AA22" i="2" s="1"/>
  <c r="AA21" i="2"/>
  <c r="Q14" i="2"/>
  <c r="Q15" i="2" s="1"/>
  <c r="AC10" i="2"/>
  <c r="AB26" i="2"/>
  <c r="AB6" i="2"/>
  <c r="AE20" i="2" l="1"/>
  <c r="AB11" i="2"/>
  <c r="AB22" i="2" s="1"/>
  <c r="AB21" i="2"/>
  <c r="Q16" i="2"/>
  <c r="X15" i="2"/>
  <c r="AC26" i="2"/>
  <c r="AC6" i="2"/>
  <c r="AD10" i="2"/>
  <c r="AF20" i="2" l="1"/>
  <c r="AC11" i="2"/>
  <c r="AC22" i="2" s="1"/>
  <c r="AC21" i="2"/>
  <c r="X16" i="2"/>
  <c r="X24" i="2"/>
  <c r="AE10" i="2"/>
  <c r="AD26" i="2"/>
  <c r="AD6" i="2"/>
  <c r="AG20" i="2" l="1"/>
  <c r="AD11" i="2"/>
  <c r="AD22" i="2" s="1"/>
  <c r="AD21" i="2"/>
  <c r="X17" i="2"/>
  <c r="X23" i="2"/>
  <c r="X28" i="2"/>
  <c r="AF10" i="2"/>
  <c r="AE26" i="2"/>
  <c r="AE6" i="2"/>
  <c r="AH20" i="2" l="1"/>
  <c r="AH26" i="2"/>
  <c r="AE11" i="2"/>
  <c r="AE22" i="2" s="1"/>
  <c r="AE21" i="2"/>
  <c r="AG10" i="2"/>
  <c r="Y14" i="2"/>
  <c r="AF26" i="2"/>
  <c r="AF6" i="2"/>
  <c r="AI20" i="2" l="1"/>
  <c r="AI26" i="2"/>
  <c r="AF11" i="2"/>
  <c r="AF22" i="2" s="1"/>
  <c r="AF21" i="2"/>
  <c r="Y16" i="2"/>
  <c r="Y24" i="2"/>
  <c r="AH10" i="2"/>
  <c r="AH6" i="2"/>
  <c r="AH21" i="2" s="1"/>
  <c r="AG6" i="2"/>
  <c r="AG26" i="2"/>
  <c r="AJ20" i="2" l="1"/>
  <c r="AJ26" i="2"/>
  <c r="AG11" i="2"/>
  <c r="AG22" i="2" s="1"/>
  <c r="AG21" i="2"/>
  <c r="Y28" i="2"/>
  <c r="Y17" i="2"/>
  <c r="Y23" i="2"/>
  <c r="AH11" i="2"/>
  <c r="AH22" i="2" s="1"/>
  <c r="AI10" i="2"/>
  <c r="AI6" i="2"/>
  <c r="AI21" i="2" s="1"/>
  <c r="AK20" i="2" l="1"/>
  <c r="AK26" i="2"/>
  <c r="Z12" i="2"/>
  <c r="Z14" i="2" s="1"/>
  <c r="Z15" i="2" s="1"/>
  <c r="AI11" i="2"/>
  <c r="AI22" i="2" s="1"/>
  <c r="AJ10" i="2"/>
  <c r="AJ6" i="2"/>
  <c r="AJ21" i="2" s="1"/>
  <c r="AL20" i="2" l="1"/>
  <c r="AL26" i="2"/>
  <c r="Z24" i="2"/>
  <c r="AJ11" i="2"/>
  <c r="AJ22" i="2" s="1"/>
  <c r="AK10" i="2"/>
  <c r="AL6" i="2"/>
  <c r="AL21" i="2" s="1"/>
  <c r="AK6" i="2"/>
  <c r="AL10" i="2" l="1"/>
  <c r="AL11" i="2" s="1"/>
  <c r="AL22" i="2" s="1"/>
  <c r="Z16" i="2"/>
  <c r="Z23" i="2" s="1"/>
  <c r="AK11" i="2"/>
  <c r="AK22" i="2" s="1"/>
  <c r="AK21" i="2"/>
  <c r="I63" i="2"/>
  <c r="J58" i="2"/>
  <c r="Z28" i="2" l="1"/>
  <c r="AA12" i="2" s="1"/>
  <c r="AA14" i="2" s="1"/>
  <c r="Z17" i="2"/>
  <c r="J70" i="2"/>
  <c r="M72" i="2" s="1"/>
  <c r="J67" i="2"/>
  <c r="J68" i="2" s="1"/>
  <c r="AA15" i="2" l="1"/>
  <c r="AA24" i="2" s="1"/>
  <c r="AA16" i="2" l="1"/>
  <c r="AA28" i="2" s="1"/>
  <c r="AB12" i="2" s="1"/>
  <c r="AB14" i="2" s="1"/>
  <c r="AB15" i="2" s="1"/>
  <c r="AB24" i="2" s="1"/>
  <c r="AA17" i="2"/>
  <c r="AA23" i="2"/>
  <c r="AB16" i="2" l="1"/>
  <c r="AB28" i="2" s="1"/>
  <c r="AC12" i="2" s="1"/>
  <c r="AC14" i="2" s="1"/>
  <c r="AC15" i="2" s="1"/>
  <c r="AB23" i="2" l="1"/>
  <c r="AB17" i="2"/>
  <c r="AC24" i="2"/>
  <c r="AC16" i="2" l="1"/>
  <c r="AC17" i="2" s="1"/>
  <c r="AC23" i="2" l="1"/>
  <c r="AC28" i="2"/>
  <c r="AD12" i="2" l="1"/>
  <c r="AD14" i="2" s="1"/>
  <c r="AD15" i="2" s="1"/>
  <c r="AD24" i="2" l="1"/>
  <c r="AD16" i="2"/>
  <c r="AD28" i="2" s="1"/>
  <c r="AE12" i="2" s="1"/>
  <c r="AE14" i="2" s="1"/>
  <c r="AE15" i="2" s="1"/>
  <c r="AE24" i="2" s="1"/>
  <c r="AD17" i="2"/>
  <c r="AD23" i="2" l="1"/>
  <c r="AE16" i="2"/>
  <c r="AE17" i="2" s="1"/>
  <c r="AE23" i="2" l="1"/>
  <c r="AE28" i="2"/>
  <c r="AF12" i="2" s="1"/>
  <c r="AF14" i="2" s="1"/>
  <c r="AF15" i="2" l="1"/>
  <c r="AF24" i="2" s="1"/>
  <c r="AF16" i="2" l="1"/>
  <c r="AF17" i="2" s="1"/>
  <c r="AF23" i="2"/>
  <c r="AF28" i="2" l="1"/>
  <c r="AG12" i="2" s="1"/>
  <c r="AG14" i="2" s="1"/>
  <c r="AG15" i="2" s="1"/>
  <c r="AG24" i="2" s="1"/>
  <c r="AG16" i="2" l="1"/>
  <c r="AG28" i="2" s="1"/>
  <c r="AH12" i="2" s="1"/>
  <c r="AH14" i="2" s="1"/>
  <c r="AH15" i="2" l="1"/>
  <c r="AH24" i="2" s="1"/>
  <c r="AG23" i="2"/>
  <c r="AG17" i="2"/>
  <c r="AH16" i="2" l="1"/>
  <c r="AH28" i="2" s="1"/>
  <c r="AI12" i="2" s="1"/>
  <c r="AI14" i="2" s="1"/>
  <c r="AI15" i="2" s="1"/>
  <c r="AH17" i="2" l="1"/>
  <c r="AH23" i="2"/>
  <c r="AI24" i="2"/>
  <c r="AI16" i="2" l="1"/>
  <c r="AI28" i="2" l="1"/>
  <c r="AJ12" i="2" s="1"/>
  <c r="AJ14" i="2" s="1"/>
  <c r="AJ15" i="2" s="1"/>
  <c r="AI17" i="2"/>
  <c r="AI23" i="2"/>
  <c r="AJ24" i="2" l="1"/>
  <c r="AJ16" i="2" l="1"/>
  <c r="AJ17" i="2" s="1"/>
  <c r="AJ28" i="2" l="1"/>
  <c r="AK12" i="2" s="1"/>
  <c r="AK14" i="2" s="1"/>
  <c r="AJ23" i="2"/>
  <c r="AK15" i="2" l="1"/>
  <c r="AK24" i="2" s="1"/>
  <c r="AK16" i="2" l="1"/>
  <c r="AK28" i="2" s="1"/>
  <c r="AL12" i="2" s="1"/>
  <c r="AL14" i="2" s="1"/>
  <c r="AL15" i="2" s="1"/>
  <c r="AK23" i="2" l="1"/>
  <c r="AK17" i="2"/>
  <c r="AL24" i="2"/>
  <c r="AL16" i="2" l="1"/>
  <c r="AL28" i="2" l="1"/>
  <c r="AL17" i="2"/>
  <c r="AL23" i="2"/>
  <c r="AM16" i="2" l="1"/>
  <c r="AN16" i="2" l="1"/>
  <c r="AO16" i="2" s="1"/>
  <c r="AP16" i="2" s="1"/>
  <c r="AQ16" i="2" s="1"/>
  <c r="AR16" i="2" s="1"/>
  <c r="AS16" i="2" s="1"/>
  <c r="AT16" i="2" s="1"/>
  <c r="AU16" i="2" s="1"/>
  <c r="AV16" i="2" s="1"/>
  <c r="AW16" i="2" s="1"/>
  <c r="AX16" i="2" s="1"/>
  <c r="AY16" i="2" s="1"/>
  <c r="AZ16" i="2" s="1"/>
  <c r="BA16" i="2" s="1"/>
  <c r="BB16" i="2" s="1"/>
  <c r="BC16" i="2" s="1"/>
  <c r="BD16" i="2" s="1"/>
  <c r="BE16" i="2" s="1"/>
  <c r="BF16" i="2" s="1"/>
  <c r="BG16" i="2" s="1"/>
  <c r="BH16" i="2" s="1"/>
  <c r="BI16" i="2" s="1"/>
  <c r="BJ16" i="2" s="1"/>
  <c r="BK16" i="2" s="1"/>
  <c r="BL16" i="2" s="1"/>
  <c r="BM16" i="2" s="1"/>
  <c r="BN16" i="2" s="1"/>
  <c r="BO16" i="2" s="1"/>
  <c r="BP16" i="2" s="1"/>
  <c r="BQ16" i="2" s="1"/>
  <c r="BR16" i="2" s="1"/>
  <c r="BS16" i="2" s="1"/>
  <c r="BT16" i="2" s="1"/>
  <c r="BU16" i="2" s="1"/>
  <c r="BV16" i="2" s="1"/>
  <c r="BW16" i="2" s="1"/>
  <c r="BX16" i="2" s="1"/>
  <c r="BY16" i="2" s="1"/>
  <c r="BZ16" i="2" s="1"/>
  <c r="CA16" i="2" s="1"/>
  <c r="CB16" i="2" s="1"/>
  <c r="CC16" i="2" s="1"/>
  <c r="CD16" i="2" s="1"/>
  <c r="CE16" i="2" s="1"/>
  <c r="CF16" i="2" s="1"/>
  <c r="CG16" i="2" s="1"/>
  <c r="CH16" i="2" s="1"/>
  <c r="CI16" i="2" s="1"/>
  <c r="CJ16" i="2" s="1"/>
  <c r="CK16" i="2" s="1"/>
  <c r="CL16" i="2" s="1"/>
  <c r="CM16" i="2" s="1"/>
  <c r="CN16" i="2" s="1"/>
  <c r="CO16" i="2" s="1"/>
  <c r="CP16" i="2" s="1"/>
  <c r="CQ16" i="2" s="1"/>
  <c r="CR16" i="2" s="1"/>
  <c r="CS16" i="2" s="1"/>
  <c r="CT16" i="2" s="1"/>
  <c r="CU16" i="2" s="1"/>
  <c r="CV16" i="2" s="1"/>
  <c r="CW16" i="2" s="1"/>
  <c r="CX16" i="2" s="1"/>
  <c r="CY16" i="2" s="1"/>
  <c r="CZ16" i="2" s="1"/>
  <c r="DA16" i="2" s="1"/>
  <c r="DB16" i="2" s="1"/>
  <c r="DC16" i="2" s="1"/>
  <c r="DD16" i="2" s="1"/>
  <c r="DE16" i="2" s="1"/>
  <c r="DF16" i="2" s="1"/>
  <c r="DG16" i="2" s="1"/>
  <c r="DH16" i="2" s="1"/>
  <c r="DI16" i="2" s="1"/>
  <c r="DJ16" i="2" s="1"/>
  <c r="DK16" i="2" s="1"/>
  <c r="DL16" i="2" s="1"/>
  <c r="DM16" i="2" s="1"/>
  <c r="DN16" i="2" s="1"/>
  <c r="DO16" i="2" s="1"/>
  <c r="DP16" i="2" s="1"/>
  <c r="DQ16" i="2" s="1"/>
  <c r="DR16" i="2" s="1"/>
  <c r="DS16" i="2" s="1"/>
  <c r="DT16" i="2" s="1"/>
  <c r="DU16" i="2" s="1"/>
  <c r="DV16" i="2" s="1"/>
  <c r="DW16" i="2" s="1"/>
  <c r="DX16" i="2" s="1"/>
  <c r="DY16" i="2" s="1"/>
  <c r="DZ16" i="2" s="1"/>
  <c r="EA16" i="2" s="1"/>
  <c r="EB16" i="2" s="1"/>
  <c r="EC16" i="2" s="1"/>
  <c r="ED16" i="2" s="1"/>
  <c r="AO21" i="2" s="1"/>
  <c r="AO23" i="2" l="1"/>
  <c r="AO25" i="2" s="1"/>
  <c r="AO26" i="2" s="1"/>
  <c r="H68" i="2"/>
  <c r="H67" i="2"/>
  <c r="H66" i="2"/>
  <c r="I66" i="2"/>
  <c r="I67" i="2"/>
  <c r="I68" i="2"/>
  <c r="I72" i="2"/>
  <c r="L72" i="2"/>
  <c r="J72" i="2"/>
  <c r="I55" i="2"/>
  <c r="I58" i="2"/>
  <c r="I70" i="2"/>
  <c r="K72" i="2"/>
</calcChain>
</file>

<file path=xl/sharedStrings.xml><?xml version="1.0" encoding="utf-8"?>
<sst xmlns="http://schemas.openxmlformats.org/spreadsheetml/2006/main" count="98" uniqueCount="85">
  <si>
    <t>SentinelOne</t>
  </si>
  <si>
    <t>(S)</t>
  </si>
  <si>
    <t>(in millions)</t>
  </si>
  <si>
    <t>Price</t>
  </si>
  <si>
    <t>Shares</t>
  </si>
  <si>
    <t>MC</t>
  </si>
  <si>
    <t>Cash</t>
  </si>
  <si>
    <t>Debt</t>
  </si>
  <si>
    <t>EV</t>
  </si>
  <si>
    <t>Q122</t>
  </si>
  <si>
    <t>Q222</t>
  </si>
  <si>
    <t>Q322</t>
  </si>
  <si>
    <t>Q422</t>
  </si>
  <si>
    <t>Q123</t>
  </si>
  <si>
    <t>Q223</t>
  </si>
  <si>
    <t>Q323</t>
  </si>
  <si>
    <t>Q423</t>
  </si>
  <si>
    <t>Q124</t>
  </si>
  <si>
    <t>Q224</t>
  </si>
  <si>
    <t>Q324</t>
  </si>
  <si>
    <t>Q424</t>
  </si>
  <si>
    <t>Q121</t>
  </si>
  <si>
    <t>Q221</t>
  </si>
  <si>
    <t>Q321</t>
  </si>
  <si>
    <t>Q421</t>
  </si>
  <si>
    <t>Revenue</t>
  </si>
  <si>
    <t>COGS</t>
  </si>
  <si>
    <t>Gross profit</t>
  </si>
  <si>
    <t>R&amp;D</t>
  </si>
  <si>
    <t>S&amp;M</t>
  </si>
  <si>
    <t>G&amp;A</t>
  </si>
  <si>
    <t>Operating expense</t>
  </si>
  <si>
    <t>Operating income</t>
  </si>
  <si>
    <t>Interest income</t>
  </si>
  <si>
    <t>Interest expense</t>
  </si>
  <si>
    <t>Other</t>
  </si>
  <si>
    <t>Pretax income</t>
  </si>
  <si>
    <t>Taxes</t>
  </si>
  <si>
    <t>Net income</t>
  </si>
  <si>
    <t>EPS</t>
  </si>
  <si>
    <t>Gross margin</t>
  </si>
  <si>
    <t>Operating margin</t>
  </si>
  <si>
    <t>Net margin</t>
  </si>
  <si>
    <t>Tax rate</t>
  </si>
  <si>
    <t>Revenue y/y</t>
  </si>
  <si>
    <t>A/R</t>
  </si>
  <si>
    <t>Deferred acquisition cost</t>
  </si>
  <si>
    <t>Prepaid</t>
  </si>
  <si>
    <t>PP&amp;E</t>
  </si>
  <si>
    <t>Lease</t>
  </si>
  <si>
    <t>Goodwill</t>
  </si>
  <si>
    <t>A/P</t>
  </si>
  <si>
    <t>Accrued liabilities</t>
  </si>
  <si>
    <t>S/E</t>
  </si>
  <si>
    <t>L+S/E</t>
  </si>
  <si>
    <t>Total assets</t>
  </si>
  <si>
    <t>Net cash</t>
  </si>
  <si>
    <t>Total liabilties</t>
  </si>
  <si>
    <t>Model NI</t>
  </si>
  <si>
    <t>Reported NI</t>
  </si>
  <si>
    <t>D&amp;A</t>
  </si>
  <si>
    <t>SBC</t>
  </si>
  <si>
    <t>Investments</t>
  </si>
  <si>
    <t>Working capital</t>
  </si>
  <si>
    <t>CFFO</t>
  </si>
  <si>
    <t>CapEx</t>
  </si>
  <si>
    <t>Investements</t>
  </si>
  <si>
    <t>Acquisitions</t>
  </si>
  <si>
    <t>CFFI</t>
  </si>
  <si>
    <t>Stock options</t>
  </si>
  <si>
    <t>CFFF</t>
  </si>
  <si>
    <t>CIC</t>
  </si>
  <si>
    <t>CFFO+CapEx-SBC</t>
  </si>
  <si>
    <t>Maturity value</t>
  </si>
  <si>
    <t>Discount rate</t>
  </si>
  <si>
    <t>NPV</t>
  </si>
  <si>
    <t>Total value</t>
  </si>
  <si>
    <t>Per share</t>
  </si>
  <si>
    <t>Current price</t>
  </si>
  <si>
    <t>R&amp;D margin</t>
  </si>
  <si>
    <t>Cash flow TTM</t>
  </si>
  <si>
    <t>FCF TTM</t>
  </si>
  <si>
    <t>DR</t>
  </si>
  <si>
    <t>Accrued payroll &amp; benefits</t>
  </si>
  <si>
    <t>ESOP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</si>
</sst>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_ ;[Red]\-#,##0\ "/>
    <numFmt numFmtId="165" formatCode="0\x"/>
  </numFmts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sz val="28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/>
    <xf numFmtId="3" fontId="0" fillId="0" borderId="0" xfId="0" applyNumberFormat="1"/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9" fontId="0" fillId="0" borderId="0" xfId="0" applyNumberFormat="1"/>
    <xf numFmtId="9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  <xf numFmtId="0" fontId="1" fillId="0" borderId="0" xfId="0" applyFont="1"/>
    <xf numFmtId="0" fontId="1" fillId="0" borderId="0" xfId="0" applyFont="1" applyAlignment="1">
      <alignment horizontal="right"/>
    </xf>
    <xf numFmtId="3" fontId="1" fillId="0" borderId="0" xfId="0" applyNumberFormat="1" applyFont="1" applyAlignment="1">
      <alignment horizontal="right"/>
    </xf>
    <xf numFmtId="9" fontId="1" fillId="0" borderId="0" xfId="0" applyNumberFormat="1" applyFont="1"/>
    <xf numFmtId="9" fontId="1" fillId="0" borderId="0" xfId="0" applyNumberFormat="1" applyFont="1" applyAlignment="1">
      <alignment horizontal="right"/>
    </xf>
    <xf numFmtId="3" fontId="0" fillId="2" borderId="0" xfId="0" applyNumberFormat="1" applyFill="1" applyAlignment="1">
      <alignment horizontal="right"/>
    </xf>
    <xf numFmtId="0" fontId="0" fillId="0" borderId="0" xfId="0" applyAlignment="1">
      <alignment horizontal="left"/>
    </xf>
    <xf numFmtId="9" fontId="0" fillId="0" borderId="0" xfId="0" applyNumberFormat="1" applyAlignment="1">
      <alignment horizontal="left"/>
    </xf>
    <xf numFmtId="164" fontId="0" fillId="0" borderId="0" xfId="0" applyNumberFormat="1" applyAlignment="1">
      <alignment horizontal="right"/>
    </xf>
    <xf numFmtId="165" fontId="0" fillId="0" borderId="0" xfId="0" applyNumberFormat="1"/>
    <xf numFmtId="16" fontId="0" fillId="0" borderId="0" xfId="0" applyNumberFormat="1" applyAlignment="1">
      <alignment horizontal="right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9525</xdr:colOff>
      <xdr:row>0</xdr:row>
      <xdr:rowOff>38100</xdr:rowOff>
    </xdr:from>
    <xdr:to>
      <xdr:col>23</xdr:col>
      <xdr:colOff>19050</xdr:colOff>
      <xdr:row>73</xdr:row>
      <xdr:rowOff>38100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AA6C3EE7-6EB2-9DB2-2034-9080C598E12E}"/>
            </a:ext>
          </a:extLst>
        </xdr:cNvPr>
        <xdr:cNvCxnSpPr/>
      </xdr:nvCxnSpPr>
      <xdr:spPr>
        <a:xfrm>
          <a:off x="16325850" y="38100"/>
          <a:ext cx="9525" cy="12582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28575</xdr:colOff>
      <xdr:row>0</xdr:row>
      <xdr:rowOff>0</xdr:rowOff>
    </xdr:from>
    <xdr:to>
      <xdr:col>15</xdr:col>
      <xdr:colOff>38100</xdr:colOff>
      <xdr:row>73</xdr:row>
      <xdr:rowOff>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67392E6A-3C99-4D5B-B52C-CB96E69C4486}"/>
            </a:ext>
          </a:extLst>
        </xdr:cNvPr>
        <xdr:cNvCxnSpPr/>
      </xdr:nvCxnSpPr>
      <xdr:spPr>
        <a:xfrm>
          <a:off x="11468100" y="0"/>
          <a:ext cx="9525" cy="12582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C98CF2-2BAC-4D5D-B73E-5E6405FD2C52}">
  <dimension ref="A1:K10"/>
  <sheetViews>
    <sheetView workbookViewId="0">
      <selection activeCell="J4" sqref="J4"/>
    </sheetView>
  </sheetViews>
  <sheetFormatPr defaultRowHeight="12.75" x14ac:dyDescent="0.2"/>
  <cols>
    <col min="1" max="1" width="31.5703125" bestFit="1" customWidth="1"/>
  </cols>
  <sheetData>
    <row r="1" spans="1:11" ht="34.5" x14ac:dyDescent="0.45">
      <c r="A1" s="1" t="s">
        <v>0</v>
      </c>
    </row>
    <row r="2" spans="1:11" x14ac:dyDescent="0.2">
      <c r="A2" t="s">
        <v>1</v>
      </c>
    </row>
    <row r="3" spans="1:11" x14ac:dyDescent="0.2">
      <c r="A3" t="s">
        <v>2</v>
      </c>
      <c r="I3" t="s">
        <v>3</v>
      </c>
      <c r="J3" s="20">
        <v>28.79</v>
      </c>
    </row>
    <row r="4" spans="1:11" x14ac:dyDescent="0.2">
      <c r="I4" t="s">
        <v>4</v>
      </c>
      <c r="J4" s="2">
        <v>301.35622699999999</v>
      </c>
      <c r="K4" s="3" t="s">
        <v>17</v>
      </c>
    </row>
    <row r="5" spans="1:11" x14ac:dyDescent="0.2">
      <c r="I5" t="s">
        <v>5</v>
      </c>
      <c r="J5" s="2">
        <f>+J4*J3</f>
        <v>8676.0457753299997</v>
      </c>
      <c r="K5" s="3"/>
    </row>
    <row r="6" spans="1:11" x14ac:dyDescent="0.2">
      <c r="I6" t="s">
        <v>6</v>
      </c>
      <c r="J6" s="2">
        <f>256.651+669.305+204.798</f>
        <v>1130.7539999999999</v>
      </c>
      <c r="K6" s="3" t="s">
        <v>17</v>
      </c>
    </row>
    <row r="7" spans="1:11" x14ac:dyDescent="0.2">
      <c r="I7" t="s">
        <v>7</v>
      </c>
      <c r="J7" s="2">
        <v>0</v>
      </c>
      <c r="K7" s="3" t="s">
        <v>17</v>
      </c>
    </row>
    <row r="8" spans="1:11" x14ac:dyDescent="0.2">
      <c r="I8" t="s">
        <v>8</v>
      </c>
      <c r="J8" s="2">
        <f>+J5-J6+J7</f>
        <v>7545.2917753299998</v>
      </c>
    </row>
    <row r="10" spans="1:11" x14ac:dyDescent="0.2">
      <c r="J10" s="1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A0552D-DCBB-4992-9C69-D2715F2014AB}">
  <dimension ref="A1:ED72"/>
  <sheetViews>
    <sheetView tabSelected="1" workbookViewId="0">
      <pane xSplit="1" ySplit="3" topLeftCell="R4" activePane="bottomRight" state="frozen"/>
      <selection pane="topRight" activeCell="B1" sqref="B1"/>
      <selection pane="bottomLeft" activeCell="A4" sqref="A4"/>
      <selection pane="bottomRight" activeCell="T32" sqref="T32"/>
    </sheetView>
  </sheetViews>
  <sheetFormatPr defaultRowHeight="12.75" x14ac:dyDescent="0.2"/>
  <cols>
    <col min="1" max="1" width="31.5703125" bestFit="1" customWidth="1"/>
    <col min="2" max="12" width="10.140625" style="3" bestFit="1" customWidth="1"/>
    <col min="13" max="13" width="10.140625" style="5" bestFit="1" customWidth="1"/>
    <col min="14" max="33" width="9.140625" style="3"/>
    <col min="34" max="38" width="9.5703125" style="3" customWidth="1"/>
    <col min="39" max="39" width="9.140625" style="3"/>
    <col min="40" max="40" width="12.42578125" bestFit="1" customWidth="1"/>
  </cols>
  <sheetData>
    <row r="1" spans="1:134" ht="34.5" x14ac:dyDescent="0.45">
      <c r="A1" s="1" t="s">
        <v>0</v>
      </c>
    </row>
    <row r="2" spans="1:134" x14ac:dyDescent="0.2">
      <c r="A2" t="s">
        <v>1</v>
      </c>
      <c r="B2" s="4">
        <v>44316</v>
      </c>
      <c r="C2" s="4">
        <v>44408</v>
      </c>
      <c r="D2" s="4">
        <v>44500</v>
      </c>
      <c r="E2" s="4">
        <v>44592</v>
      </c>
      <c r="F2" s="4">
        <v>44681</v>
      </c>
      <c r="G2" s="4">
        <v>44773</v>
      </c>
      <c r="H2" s="4">
        <v>44865</v>
      </c>
      <c r="I2" s="4">
        <v>44957</v>
      </c>
      <c r="J2" s="4">
        <v>45046</v>
      </c>
      <c r="K2" s="4">
        <v>45138</v>
      </c>
      <c r="L2" s="4">
        <v>45230</v>
      </c>
      <c r="M2" s="4">
        <v>45322</v>
      </c>
      <c r="N2" s="4">
        <v>45412</v>
      </c>
      <c r="O2" s="19">
        <v>45504</v>
      </c>
    </row>
    <row r="3" spans="1:134" x14ac:dyDescent="0.2">
      <c r="A3" t="s">
        <v>2</v>
      </c>
      <c r="B3" s="3" t="s">
        <v>21</v>
      </c>
      <c r="C3" s="3" t="s">
        <v>22</v>
      </c>
      <c r="D3" s="3" t="s">
        <v>23</v>
      </c>
      <c r="E3" s="3" t="s">
        <v>24</v>
      </c>
      <c r="F3" s="3" t="s">
        <v>9</v>
      </c>
      <c r="G3" s="3" t="s">
        <v>10</v>
      </c>
      <c r="H3" s="3" t="s">
        <v>11</v>
      </c>
      <c r="I3" s="3" t="s">
        <v>12</v>
      </c>
      <c r="J3" s="3" t="s">
        <v>13</v>
      </c>
      <c r="K3" s="3" t="s">
        <v>14</v>
      </c>
      <c r="L3" s="3" t="s">
        <v>15</v>
      </c>
      <c r="M3" s="5" t="s">
        <v>16</v>
      </c>
      <c r="N3" s="3" t="s">
        <v>17</v>
      </c>
      <c r="O3" s="3" t="s">
        <v>18</v>
      </c>
      <c r="P3" s="3" t="s">
        <v>19</v>
      </c>
      <c r="Q3" s="3" t="s">
        <v>20</v>
      </c>
      <c r="S3" s="3">
        <v>2020</v>
      </c>
      <c r="T3" s="3">
        <v>2021</v>
      </c>
      <c r="U3" s="3">
        <v>2022</v>
      </c>
      <c r="V3" s="3">
        <v>2023</v>
      </c>
      <c r="W3" s="3">
        <v>2024</v>
      </c>
      <c r="X3" s="3">
        <f>+W3+1</f>
        <v>2025</v>
      </c>
      <c r="Y3" s="3">
        <f t="shared" ref="Y3:AG3" si="0">+X3+1</f>
        <v>2026</v>
      </c>
      <c r="Z3" s="3">
        <f t="shared" si="0"/>
        <v>2027</v>
      </c>
      <c r="AA3" s="3">
        <f t="shared" si="0"/>
        <v>2028</v>
      </c>
      <c r="AB3" s="3">
        <f t="shared" si="0"/>
        <v>2029</v>
      </c>
      <c r="AC3" s="3">
        <f t="shared" si="0"/>
        <v>2030</v>
      </c>
      <c r="AD3" s="3">
        <f t="shared" si="0"/>
        <v>2031</v>
      </c>
      <c r="AE3" s="3">
        <f t="shared" si="0"/>
        <v>2032</v>
      </c>
      <c r="AF3" s="3">
        <f t="shared" si="0"/>
        <v>2033</v>
      </c>
      <c r="AG3" s="3">
        <f t="shared" si="0"/>
        <v>2034</v>
      </c>
      <c r="AH3" s="3">
        <f t="shared" ref="AH3" si="1">+AG3+1</f>
        <v>2035</v>
      </c>
      <c r="AI3" s="3">
        <f t="shared" ref="AI3" si="2">+AH3+1</f>
        <v>2036</v>
      </c>
      <c r="AJ3" s="3">
        <f t="shared" ref="AJ3" si="3">+AI3+1</f>
        <v>2037</v>
      </c>
      <c r="AK3" s="3">
        <f t="shared" ref="AK3" si="4">+AJ3+1</f>
        <v>2038</v>
      </c>
      <c r="AL3" s="3">
        <f t="shared" ref="AL3" si="5">+AK3+1</f>
        <v>2039</v>
      </c>
    </row>
    <row r="4" spans="1:134" s="9" customFormat="1" x14ac:dyDescent="0.2">
      <c r="A4" s="9" t="s">
        <v>25</v>
      </c>
      <c r="B4" s="11">
        <v>37.395000000000003</v>
      </c>
      <c r="C4" s="11">
        <v>45.75</v>
      </c>
      <c r="D4" s="11">
        <v>56.018000000000001</v>
      </c>
      <c r="E4" s="11">
        <v>65.635999999999996</v>
      </c>
      <c r="F4" s="11">
        <v>78.254999999999995</v>
      </c>
      <c r="G4" s="11">
        <v>102.505</v>
      </c>
      <c r="H4" s="11">
        <v>115.32299999999999</v>
      </c>
      <c r="I4" s="11">
        <v>126.096</v>
      </c>
      <c r="J4" s="11">
        <v>133.393</v>
      </c>
      <c r="K4" s="11">
        <v>149.42099999999999</v>
      </c>
      <c r="L4" s="11">
        <v>164.16499999999999</v>
      </c>
      <c r="M4" s="11">
        <v>174.17500000000001</v>
      </c>
      <c r="N4" s="11">
        <v>186.35499999999999</v>
      </c>
      <c r="O4" s="11">
        <v>198.93700000000001</v>
      </c>
      <c r="P4" s="11">
        <f>+L4*1.3</f>
        <v>213.4145</v>
      </c>
      <c r="Q4" s="11">
        <f>+M4*1.3</f>
        <v>226.42750000000001</v>
      </c>
      <c r="R4" s="10"/>
      <c r="S4" s="11">
        <v>46.473999999999997</v>
      </c>
      <c r="T4" s="11">
        <v>93.055999999999997</v>
      </c>
      <c r="U4" s="11">
        <v>204.79900000000001</v>
      </c>
      <c r="V4" s="11">
        <v>422.17899999999997</v>
      </c>
      <c r="W4" s="11">
        <v>621.154</v>
      </c>
      <c r="X4" s="11">
        <f>+SUM(N4:Q4)</f>
        <v>825.13400000000001</v>
      </c>
      <c r="Y4" s="11">
        <f>+X4*1.3</f>
        <v>1072.6742000000002</v>
      </c>
      <c r="Z4" s="11">
        <f t="shared" ref="Z4:AL4" si="6">+Y4*1.3</f>
        <v>1394.4764600000003</v>
      </c>
      <c r="AA4" s="11">
        <f t="shared" si="6"/>
        <v>1812.8193980000005</v>
      </c>
      <c r="AB4" s="11">
        <f t="shared" si="6"/>
        <v>2356.665217400001</v>
      </c>
      <c r="AC4" s="11">
        <f t="shared" si="6"/>
        <v>3063.6647826200015</v>
      </c>
      <c r="AD4" s="11">
        <f t="shared" si="6"/>
        <v>3982.764217406002</v>
      </c>
      <c r="AE4" s="11">
        <f t="shared" si="6"/>
        <v>5177.5934826278026</v>
      </c>
      <c r="AF4" s="11">
        <f t="shared" si="6"/>
        <v>6730.8715274161432</v>
      </c>
      <c r="AG4" s="11">
        <f t="shared" si="6"/>
        <v>8750.1329856409866</v>
      </c>
      <c r="AH4" s="11">
        <f t="shared" si="6"/>
        <v>11375.172881333283</v>
      </c>
      <c r="AI4" s="11">
        <f t="shared" si="6"/>
        <v>14787.724745733269</v>
      </c>
      <c r="AJ4" s="11">
        <f t="shared" si="6"/>
        <v>19224.042169453249</v>
      </c>
      <c r="AK4" s="11">
        <f t="shared" si="6"/>
        <v>24991.254820289225</v>
      </c>
      <c r="AL4" s="11">
        <f t="shared" si="6"/>
        <v>32488.631266375993</v>
      </c>
      <c r="AM4" s="10"/>
    </row>
    <row r="5" spans="1:134" x14ac:dyDescent="0.2">
      <c r="A5" t="s">
        <v>26</v>
      </c>
      <c r="B5" s="5">
        <v>18.283000000000001</v>
      </c>
      <c r="C5" s="5">
        <v>18.788</v>
      </c>
      <c r="D5" s="5">
        <v>30.356999999999999</v>
      </c>
      <c r="E5" s="5">
        <v>24.248999999999999</v>
      </c>
      <c r="F5" s="5">
        <v>27.138999999999999</v>
      </c>
      <c r="G5" s="5">
        <v>36.261000000000003</v>
      </c>
      <c r="H5" s="5">
        <v>41.006</v>
      </c>
      <c r="I5" s="5">
        <v>39.771000000000001</v>
      </c>
      <c r="J5" s="5">
        <v>42.582999999999998</v>
      </c>
      <c r="K5" s="5">
        <v>44.667000000000002</v>
      </c>
      <c r="L5" s="5">
        <v>43.765000000000001</v>
      </c>
      <c r="M5" s="5">
        <v>48.265999999999998</v>
      </c>
      <c r="N5" s="5">
        <v>50.137</v>
      </c>
      <c r="O5" s="5">
        <v>50.698999999999998</v>
      </c>
      <c r="P5" s="5">
        <f t="shared" ref="P5:Q5" si="7">+P4*0.25</f>
        <v>53.353625000000001</v>
      </c>
      <c r="Q5" s="5">
        <f t="shared" si="7"/>
        <v>56.606875000000002</v>
      </c>
      <c r="S5" s="5">
        <v>18.331</v>
      </c>
      <c r="T5" s="5">
        <v>39.332000000000001</v>
      </c>
      <c r="U5" s="5">
        <v>81.677000000000007</v>
      </c>
      <c r="V5" s="5">
        <v>144.17699999999999</v>
      </c>
      <c r="W5" s="5">
        <v>179.28100000000001</v>
      </c>
      <c r="X5" s="5">
        <f>+SUM(N5:Q5)</f>
        <v>210.79650000000001</v>
      </c>
      <c r="Y5" s="5">
        <f>+Y4*0.25</f>
        <v>268.16855000000004</v>
      </c>
      <c r="Z5" s="5">
        <f t="shared" ref="Z5:AL5" si="8">+Z4*0.25</f>
        <v>348.61911500000008</v>
      </c>
      <c r="AA5" s="5">
        <f t="shared" si="8"/>
        <v>453.20484950000014</v>
      </c>
      <c r="AB5" s="5">
        <f t="shared" si="8"/>
        <v>589.16630435000025</v>
      </c>
      <c r="AC5" s="5">
        <f t="shared" si="8"/>
        <v>765.91619565500037</v>
      </c>
      <c r="AD5" s="5">
        <f t="shared" si="8"/>
        <v>995.6910543515005</v>
      </c>
      <c r="AE5" s="5">
        <f t="shared" si="8"/>
        <v>1294.3983706569506</v>
      </c>
      <c r="AF5" s="5">
        <f t="shared" si="8"/>
        <v>1682.7178818540358</v>
      </c>
      <c r="AG5" s="5">
        <f t="shared" si="8"/>
        <v>2187.5332464102466</v>
      </c>
      <c r="AH5" s="5">
        <f t="shared" si="8"/>
        <v>2843.7932203333207</v>
      </c>
      <c r="AI5" s="5">
        <f t="shared" si="8"/>
        <v>3696.9311864333172</v>
      </c>
      <c r="AJ5" s="5">
        <f t="shared" si="8"/>
        <v>4806.0105423633122</v>
      </c>
      <c r="AK5" s="5">
        <f t="shared" si="8"/>
        <v>6247.8137050723062</v>
      </c>
      <c r="AL5" s="5">
        <f t="shared" si="8"/>
        <v>8122.1578165939982</v>
      </c>
    </row>
    <row r="6" spans="1:134" x14ac:dyDescent="0.2">
      <c r="A6" t="s">
        <v>27</v>
      </c>
      <c r="B6" s="5">
        <f t="shared" ref="B6:Q6" si="9">+B4-B5</f>
        <v>19.112000000000002</v>
      </c>
      <c r="C6" s="5">
        <f t="shared" si="9"/>
        <v>26.962</v>
      </c>
      <c r="D6" s="5">
        <f t="shared" si="9"/>
        <v>25.661000000000001</v>
      </c>
      <c r="E6" s="5">
        <f t="shared" si="9"/>
        <v>41.387</v>
      </c>
      <c r="F6" s="5">
        <f t="shared" si="9"/>
        <v>51.116</v>
      </c>
      <c r="G6" s="5">
        <f t="shared" si="9"/>
        <v>66.244</v>
      </c>
      <c r="H6" s="5">
        <f t="shared" si="9"/>
        <v>74.316999999999993</v>
      </c>
      <c r="I6" s="5">
        <f t="shared" si="9"/>
        <v>86.325000000000003</v>
      </c>
      <c r="J6" s="5">
        <f t="shared" si="9"/>
        <v>90.81</v>
      </c>
      <c r="K6" s="5">
        <f t="shared" si="9"/>
        <v>104.75399999999999</v>
      </c>
      <c r="L6" s="5">
        <f t="shared" si="9"/>
        <v>120.39999999999999</v>
      </c>
      <c r="M6" s="5">
        <f t="shared" si="9"/>
        <v>125.90900000000002</v>
      </c>
      <c r="N6" s="5">
        <f t="shared" si="9"/>
        <v>136.21799999999999</v>
      </c>
      <c r="O6" s="5">
        <f t="shared" ref="O6" si="10">+O4-O5</f>
        <v>148.238</v>
      </c>
      <c r="P6" s="5">
        <f t="shared" si="9"/>
        <v>160.06087500000001</v>
      </c>
      <c r="Q6" s="5">
        <f t="shared" si="9"/>
        <v>169.82062500000001</v>
      </c>
      <c r="S6" s="5">
        <f t="shared" ref="S6" si="11">+S4-S5</f>
        <v>28.142999999999997</v>
      </c>
      <c r="T6" s="5">
        <f t="shared" ref="T6:U6" si="12">+T4-T5</f>
        <v>53.723999999999997</v>
      </c>
      <c r="U6" s="5">
        <f t="shared" si="12"/>
        <v>123.122</v>
      </c>
      <c r="V6" s="5">
        <f t="shared" ref="V6:Y6" si="13">+V4-V5</f>
        <v>278.00199999999995</v>
      </c>
      <c r="W6" s="5">
        <f t="shared" si="13"/>
        <v>441.87299999999999</v>
      </c>
      <c r="X6" s="5">
        <f t="shared" si="13"/>
        <v>614.33749999999998</v>
      </c>
      <c r="Y6" s="5">
        <f t="shared" si="13"/>
        <v>804.50565000000006</v>
      </c>
      <c r="Z6" s="5">
        <f t="shared" ref="Z6:AF6" si="14">+Z4-Z5</f>
        <v>1045.8573450000004</v>
      </c>
      <c r="AA6" s="5">
        <f t="shared" si="14"/>
        <v>1359.6145485000004</v>
      </c>
      <c r="AB6" s="5">
        <f t="shared" si="14"/>
        <v>1767.4989130500007</v>
      </c>
      <c r="AC6" s="5">
        <f t="shared" si="14"/>
        <v>2297.7485869650009</v>
      </c>
      <c r="AD6" s="5">
        <f t="shared" si="14"/>
        <v>2987.0731630545015</v>
      </c>
      <c r="AE6" s="5">
        <f t="shared" si="14"/>
        <v>3883.1951119708519</v>
      </c>
      <c r="AF6" s="5">
        <f t="shared" si="14"/>
        <v>5048.1536455621072</v>
      </c>
      <c r="AG6" s="5">
        <f t="shared" ref="AG6:AL6" si="15">+AG4-AG5</f>
        <v>6562.5997392307399</v>
      </c>
      <c r="AH6" s="5">
        <f t="shared" si="15"/>
        <v>8531.3796609999627</v>
      </c>
      <c r="AI6" s="5">
        <f t="shared" si="15"/>
        <v>11090.793559299951</v>
      </c>
      <c r="AJ6" s="5">
        <f t="shared" si="15"/>
        <v>14418.031627089937</v>
      </c>
      <c r="AK6" s="5">
        <f t="shared" si="15"/>
        <v>18743.44111521692</v>
      </c>
      <c r="AL6" s="5">
        <f t="shared" si="15"/>
        <v>24366.473449781995</v>
      </c>
    </row>
    <row r="7" spans="1:134" x14ac:dyDescent="0.2">
      <c r="A7" t="s">
        <v>28</v>
      </c>
      <c r="B7" s="5">
        <v>27.82</v>
      </c>
      <c r="C7" s="5">
        <v>31.036999999999999</v>
      </c>
      <c r="D7" s="5">
        <v>34.773000000000003</v>
      </c>
      <c r="E7" s="5">
        <v>42.643999999999998</v>
      </c>
      <c r="F7" s="5">
        <v>45.881</v>
      </c>
      <c r="G7" s="5">
        <v>54.988999999999997</v>
      </c>
      <c r="H7" s="5">
        <v>52.234000000000002</v>
      </c>
      <c r="I7" s="5">
        <v>53.904000000000003</v>
      </c>
      <c r="J7" s="5">
        <v>55.262999999999998</v>
      </c>
      <c r="K7" s="5">
        <v>54.161000000000001</v>
      </c>
      <c r="L7" s="5">
        <v>52.305999999999997</v>
      </c>
      <c r="M7" s="5">
        <v>56.445999999999998</v>
      </c>
      <c r="N7" s="5">
        <v>58.320999999999998</v>
      </c>
      <c r="O7" s="5">
        <v>63.601999999999997</v>
      </c>
      <c r="P7" s="5">
        <f>+L7*1.1</f>
        <v>57.5366</v>
      </c>
      <c r="Q7" s="5">
        <f>+M7*1.1</f>
        <v>62.090600000000002</v>
      </c>
      <c r="S7" s="5">
        <v>36.683</v>
      </c>
      <c r="T7" s="5">
        <v>62.444000000000003</v>
      </c>
      <c r="U7" s="5">
        <v>136.274</v>
      </c>
      <c r="V7" s="5">
        <v>207.00800000000001</v>
      </c>
      <c r="W7" s="5">
        <v>218.17599999999999</v>
      </c>
      <c r="X7" s="5">
        <f>+X4*0.3</f>
        <v>247.5402</v>
      </c>
      <c r="Y7" s="5">
        <f>+Y4*0.3</f>
        <v>321.80226000000005</v>
      </c>
      <c r="Z7" s="5">
        <f>+Z4*0.25</f>
        <v>348.61911500000008</v>
      </c>
      <c r="AA7" s="5">
        <f t="shared" ref="AA7:AD7" si="16">+AA4*0.25</f>
        <v>453.20484950000014</v>
      </c>
      <c r="AB7" s="5">
        <f t="shared" si="16"/>
        <v>589.16630435000025</v>
      </c>
      <c r="AC7" s="5">
        <f t="shared" si="16"/>
        <v>765.91619565500037</v>
      </c>
      <c r="AD7" s="5">
        <f t="shared" si="16"/>
        <v>995.6910543515005</v>
      </c>
      <c r="AE7" s="5">
        <f>+AE4*0.2</f>
        <v>1035.5186965255605</v>
      </c>
      <c r="AF7" s="5">
        <f t="shared" ref="AF7:AL7" si="17">+AF4*0.2</f>
        <v>1346.1743054832286</v>
      </c>
      <c r="AG7" s="5">
        <f t="shared" si="17"/>
        <v>1750.0265971281974</v>
      </c>
      <c r="AH7" s="5">
        <f t="shared" si="17"/>
        <v>2275.0345762666566</v>
      </c>
      <c r="AI7" s="5">
        <f t="shared" si="17"/>
        <v>2957.5449491466538</v>
      </c>
      <c r="AJ7" s="5">
        <f t="shared" si="17"/>
        <v>3844.8084338906501</v>
      </c>
      <c r="AK7" s="5">
        <f t="shared" si="17"/>
        <v>4998.2509640578455</v>
      </c>
      <c r="AL7" s="5">
        <f t="shared" si="17"/>
        <v>6497.7262532751993</v>
      </c>
    </row>
    <row r="8" spans="1:134" x14ac:dyDescent="0.2">
      <c r="A8" t="s">
        <v>29</v>
      </c>
      <c r="B8" s="5">
        <v>36.18</v>
      </c>
      <c r="C8" s="5">
        <v>40.97</v>
      </c>
      <c r="D8" s="5">
        <v>41.311</v>
      </c>
      <c r="E8" s="5">
        <v>42.115000000000002</v>
      </c>
      <c r="F8" s="5">
        <v>60.640999999999998</v>
      </c>
      <c r="G8" s="5">
        <v>79</v>
      </c>
      <c r="H8" s="5">
        <v>83.953000000000003</v>
      </c>
      <c r="I8" s="5">
        <v>87.254000000000005</v>
      </c>
      <c r="J8" s="5">
        <v>99.171000000000006</v>
      </c>
      <c r="K8" s="5">
        <v>98.161000000000001</v>
      </c>
      <c r="L8" s="5">
        <v>98.248999999999995</v>
      </c>
      <c r="M8" s="5">
        <v>101.47799999999999</v>
      </c>
      <c r="N8" s="5">
        <v>115.83</v>
      </c>
      <c r="O8" s="5">
        <v>119.617</v>
      </c>
      <c r="P8" s="5">
        <f>+L8*1.05</f>
        <v>103.16145</v>
      </c>
      <c r="Q8" s="5">
        <f>+M8*1.05</f>
        <v>106.5519</v>
      </c>
      <c r="S8" s="5">
        <v>51.322000000000003</v>
      </c>
      <c r="T8" s="5">
        <v>77.739999999999995</v>
      </c>
      <c r="U8" s="5">
        <v>160.57599999999999</v>
      </c>
      <c r="V8" s="5">
        <v>310.84800000000001</v>
      </c>
      <c r="W8" s="5">
        <v>397.16</v>
      </c>
      <c r="X8" s="5">
        <f>+SUM(N8:Q8)</f>
        <v>445.16034999999999</v>
      </c>
      <c r="Y8" s="5">
        <f>+X8*1.3</f>
        <v>578.70845499999996</v>
      </c>
      <c r="Z8" s="5">
        <f>+Y8*1.25</f>
        <v>723.38556874999995</v>
      </c>
      <c r="AA8" s="5">
        <f t="shared" ref="AA8:AD8" si="18">+Z8*1.25</f>
        <v>904.23196093749993</v>
      </c>
      <c r="AB8" s="5">
        <f t="shared" si="18"/>
        <v>1130.2899511718749</v>
      </c>
      <c r="AC8" s="5">
        <f t="shared" si="18"/>
        <v>1412.8624389648437</v>
      </c>
      <c r="AD8" s="5">
        <f t="shared" si="18"/>
        <v>1766.0780487060547</v>
      </c>
      <c r="AE8" s="5">
        <f>+AD8*1.2</f>
        <v>2119.2936584472654</v>
      </c>
      <c r="AF8" s="5">
        <f t="shared" ref="AF8:AL8" si="19">+AE8*1.2</f>
        <v>2543.1523901367186</v>
      </c>
      <c r="AG8" s="5">
        <f t="shared" si="19"/>
        <v>3051.7828681640622</v>
      </c>
      <c r="AH8" s="5">
        <f t="shared" si="19"/>
        <v>3662.1394417968745</v>
      </c>
      <c r="AI8" s="5">
        <f t="shared" si="19"/>
        <v>4394.5673301562492</v>
      </c>
      <c r="AJ8" s="5">
        <f t="shared" si="19"/>
        <v>5273.4807961874985</v>
      </c>
      <c r="AK8" s="5">
        <f t="shared" si="19"/>
        <v>6328.1769554249977</v>
      </c>
      <c r="AL8" s="5">
        <f t="shared" si="19"/>
        <v>7593.812346509997</v>
      </c>
    </row>
    <row r="9" spans="1:134" x14ac:dyDescent="0.2">
      <c r="A9" t="s">
        <v>30</v>
      </c>
      <c r="B9" s="5">
        <v>16.724</v>
      </c>
      <c r="C9" s="5">
        <v>22.11</v>
      </c>
      <c r="D9" s="5">
        <v>26.951000000000001</v>
      </c>
      <c r="E9" s="5">
        <v>27.719000000000001</v>
      </c>
      <c r="F9" s="5">
        <v>34.89</v>
      </c>
      <c r="G9" s="5">
        <v>40.447000000000003</v>
      </c>
      <c r="H9" s="5">
        <v>42.188000000000002</v>
      </c>
      <c r="I9" s="5">
        <v>45.197000000000003</v>
      </c>
      <c r="J9" s="5">
        <v>51.753</v>
      </c>
      <c r="K9" s="5">
        <v>48.433</v>
      </c>
      <c r="L9" s="5">
        <v>51.238999999999997</v>
      </c>
      <c r="M9" s="5">
        <v>46.822000000000003</v>
      </c>
      <c r="N9" s="5">
        <v>42.667000000000002</v>
      </c>
      <c r="O9" s="5">
        <v>44.4</v>
      </c>
      <c r="P9" s="5">
        <f t="shared" ref="P9:Q9" si="20">+L9*1.05</f>
        <v>53.80095</v>
      </c>
      <c r="Q9" s="5">
        <f t="shared" si="20"/>
        <v>49.163100000000007</v>
      </c>
      <c r="S9" s="5">
        <v>15.122</v>
      </c>
      <c r="T9" s="5">
        <v>29.059000000000001</v>
      </c>
      <c r="U9" s="5">
        <v>93.504000000000005</v>
      </c>
      <c r="V9" s="5">
        <v>162.72200000000001</v>
      </c>
      <c r="W9" s="5">
        <v>198.24700000000001</v>
      </c>
      <c r="X9" s="5">
        <f>+SUM(N9:Q9)</f>
        <v>190.03105000000002</v>
      </c>
      <c r="Y9" s="5">
        <f>+X9*1.25</f>
        <v>237.53881250000003</v>
      </c>
      <c r="Z9" s="5">
        <f>+Y9*1.2</f>
        <v>285.04657500000002</v>
      </c>
      <c r="AA9" s="5">
        <f t="shared" ref="AA9:AL9" si="21">+Z9*1.2</f>
        <v>342.05589000000003</v>
      </c>
      <c r="AB9" s="5">
        <f t="shared" si="21"/>
        <v>410.46706800000004</v>
      </c>
      <c r="AC9" s="5">
        <f t="shared" si="21"/>
        <v>492.5604816</v>
      </c>
      <c r="AD9" s="5">
        <f t="shared" si="21"/>
        <v>591.07257791999996</v>
      </c>
      <c r="AE9" s="5">
        <f t="shared" si="21"/>
        <v>709.28709350399993</v>
      </c>
      <c r="AF9" s="5">
        <f t="shared" si="21"/>
        <v>851.14451220479987</v>
      </c>
      <c r="AG9" s="5">
        <f t="shared" si="21"/>
        <v>1021.3734146457598</v>
      </c>
      <c r="AH9" s="5">
        <f t="shared" si="21"/>
        <v>1225.6480975749116</v>
      </c>
      <c r="AI9" s="5">
        <f t="shared" si="21"/>
        <v>1470.7777170898939</v>
      </c>
      <c r="AJ9" s="5">
        <f t="shared" si="21"/>
        <v>1764.9332605078728</v>
      </c>
      <c r="AK9" s="5">
        <f t="shared" si="21"/>
        <v>2117.9199126094472</v>
      </c>
      <c r="AL9" s="5">
        <f t="shared" si="21"/>
        <v>2541.5038951313368</v>
      </c>
    </row>
    <row r="10" spans="1:134" x14ac:dyDescent="0.2">
      <c r="A10" t="s">
        <v>31</v>
      </c>
      <c r="B10" s="5">
        <f t="shared" ref="B10:M10" si="22">+SUM(B7:B9)</f>
        <v>80.724000000000004</v>
      </c>
      <c r="C10" s="5">
        <f t="shared" si="22"/>
        <v>94.117000000000004</v>
      </c>
      <c r="D10" s="5">
        <f t="shared" si="22"/>
        <v>103.035</v>
      </c>
      <c r="E10" s="5">
        <f t="shared" si="22"/>
        <v>112.47800000000001</v>
      </c>
      <c r="F10" s="5">
        <f t="shared" si="22"/>
        <v>141.41199999999998</v>
      </c>
      <c r="G10" s="5">
        <f t="shared" si="22"/>
        <v>174.43600000000001</v>
      </c>
      <c r="H10" s="5">
        <f t="shared" si="22"/>
        <v>178.375</v>
      </c>
      <c r="I10" s="5">
        <f t="shared" si="22"/>
        <v>186.35500000000002</v>
      </c>
      <c r="J10" s="5">
        <f t="shared" si="22"/>
        <v>206.18700000000001</v>
      </c>
      <c r="K10" s="5">
        <f t="shared" si="22"/>
        <v>200.755</v>
      </c>
      <c r="L10" s="5">
        <f t="shared" si="22"/>
        <v>201.79400000000001</v>
      </c>
      <c r="M10" s="5">
        <f t="shared" si="22"/>
        <v>204.74599999999998</v>
      </c>
      <c r="N10" s="5">
        <f t="shared" ref="N10:Q10" si="23">+SUM(N7:N9)</f>
        <v>216.81800000000001</v>
      </c>
      <c r="O10" s="5">
        <f t="shared" ref="O10" si="24">+SUM(O7:O9)</f>
        <v>227.619</v>
      </c>
      <c r="P10" s="5">
        <f t="shared" si="23"/>
        <v>214.499</v>
      </c>
      <c r="Q10" s="5">
        <f t="shared" si="23"/>
        <v>217.80560000000003</v>
      </c>
      <c r="S10" s="5">
        <f t="shared" ref="S10" si="25">+SUM(S7:S9)</f>
        <v>103.127</v>
      </c>
      <c r="T10" s="5">
        <f t="shared" ref="T10:U10" si="26">+SUM(T7:T9)</f>
        <v>169.24299999999999</v>
      </c>
      <c r="U10" s="5">
        <f t="shared" si="26"/>
        <v>390.35400000000004</v>
      </c>
      <c r="V10" s="5">
        <f t="shared" ref="V10:W10" si="27">+SUM(V7:V9)</f>
        <v>680.57799999999997</v>
      </c>
      <c r="W10" s="5">
        <f t="shared" si="27"/>
        <v>813.58300000000008</v>
      </c>
      <c r="X10" s="5">
        <f t="shared" ref="X10:Y10" si="28">+SUM(X7:X9)</f>
        <v>882.73160000000007</v>
      </c>
      <c r="Y10" s="5">
        <f t="shared" si="28"/>
        <v>1138.0495275000001</v>
      </c>
      <c r="Z10" s="5">
        <f t="shared" ref="Z10:AF10" si="29">+SUM(Z7:Z9)</f>
        <v>1357.05125875</v>
      </c>
      <c r="AA10" s="5">
        <f t="shared" si="29"/>
        <v>1699.4927004375002</v>
      </c>
      <c r="AB10" s="5">
        <f t="shared" si="29"/>
        <v>2129.9233235218753</v>
      </c>
      <c r="AC10" s="5">
        <f t="shared" si="29"/>
        <v>2671.3391162198441</v>
      </c>
      <c r="AD10" s="5">
        <f t="shared" si="29"/>
        <v>3352.8416809775554</v>
      </c>
      <c r="AE10" s="5">
        <f t="shared" si="29"/>
        <v>3864.0994484768262</v>
      </c>
      <c r="AF10" s="5">
        <f t="shared" si="29"/>
        <v>4740.4712078247467</v>
      </c>
      <c r="AG10" s="5">
        <f t="shared" ref="AG10:AL10" si="30">+SUM(AG7:AG9)</f>
        <v>5823.1828799380191</v>
      </c>
      <c r="AH10" s="5">
        <f t="shared" si="30"/>
        <v>7162.8221156384434</v>
      </c>
      <c r="AI10" s="5">
        <f t="shared" si="30"/>
        <v>8822.8899963927961</v>
      </c>
      <c r="AJ10" s="5">
        <f t="shared" si="30"/>
        <v>10883.222490586022</v>
      </c>
      <c r="AK10" s="5">
        <f t="shared" si="30"/>
        <v>13444.347832092291</v>
      </c>
      <c r="AL10" s="5">
        <f t="shared" si="30"/>
        <v>16633.042494916532</v>
      </c>
    </row>
    <row r="11" spans="1:134" s="9" customFormat="1" x14ac:dyDescent="0.2">
      <c r="A11" s="9" t="s">
        <v>32</v>
      </c>
      <c r="B11" s="11">
        <f t="shared" ref="B11:M11" si="31">+B6-B10</f>
        <v>-61.612000000000002</v>
      </c>
      <c r="C11" s="11">
        <f t="shared" si="31"/>
        <v>-67.155000000000001</v>
      </c>
      <c r="D11" s="11">
        <f t="shared" si="31"/>
        <v>-77.373999999999995</v>
      </c>
      <c r="E11" s="11">
        <f t="shared" si="31"/>
        <v>-71.091000000000008</v>
      </c>
      <c r="F11" s="11">
        <f t="shared" si="31"/>
        <v>-90.295999999999978</v>
      </c>
      <c r="G11" s="11">
        <f t="shared" si="31"/>
        <v>-108.19200000000001</v>
      </c>
      <c r="H11" s="11">
        <f t="shared" si="31"/>
        <v>-104.05800000000001</v>
      </c>
      <c r="I11" s="11">
        <f t="shared" si="31"/>
        <v>-100.03000000000002</v>
      </c>
      <c r="J11" s="11">
        <f t="shared" si="31"/>
        <v>-115.37700000000001</v>
      </c>
      <c r="K11" s="11">
        <f t="shared" si="31"/>
        <v>-96.001000000000005</v>
      </c>
      <c r="L11" s="11">
        <f t="shared" si="31"/>
        <v>-81.39400000000002</v>
      </c>
      <c r="M11" s="11">
        <f t="shared" si="31"/>
        <v>-78.836999999999961</v>
      </c>
      <c r="N11" s="11">
        <f t="shared" ref="N11:Q11" si="32">+N6-N10</f>
        <v>-80.600000000000023</v>
      </c>
      <c r="O11" s="11">
        <f t="shared" ref="O11" si="33">+O6-O10</f>
        <v>-79.381</v>
      </c>
      <c r="P11" s="11">
        <f t="shared" si="32"/>
        <v>-54.438124999999985</v>
      </c>
      <c r="Q11" s="11">
        <f t="shared" si="32"/>
        <v>-47.98497500000002</v>
      </c>
      <c r="R11" s="10"/>
      <c r="S11" s="11">
        <f t="shared" ref="S11" si="34">+S6-S10</f>
        <v>-74.983999999999995</v>
      </c>
      <c r="T11" s="11">
        <f t="shared" ref="T11:U11" si="35">+T6-T10</f>
        <v>-115.51900000000001</v>
      </c>
      <c r="U11" s="11">
        <f t="shared" si="35"/>
        <v>-267.23200000000003</v>
      </c>
      <c r="V11" s="11">
        <f t="shared" ref="V11:W11" si="36">+V6-V10</f>
        <v>-402.57600000000002</v>
      </c>
      <c r="W11" s="11">
        <f t="shared" si="36"/>
        <v>-371.71000000000009</v>
      </c>
      <c r="X11" s="11">
        <f>+X6-X10</f>
        <v>-268.39410000000009</v>
      </c>
      <c r="Y11" s="11">
        <f t="shared" ref="X11:Y11" si="37">+Y6-Y10</f>
        <v>-333.54387750000001</v>
      </c>
      <c r="Z11" s="11">
        <f t="shared" ref="Z11:AF11" si="38">+Z6-Z10</f>
        <v>-311.19391374999964</v>
      </c>
      <c r="AA11" s="11">
        <f t="shared" si="38"/>
        <v>-339.87815193749975</v>
      </c>
      <c r="AB11" s="11">
        <f t="shared" si="38"/>
        <v>-362.42441047187458</v>
      </c>
      <c r="AC11" s="11">
        <f t="shared" si="38"/>
        <v>-373.5905292548432</v>
      </c>
      <c r="AD11" s="11">
        <f t="shared" si="38"/>
        <v>-365.76851792305388</v>
      </c>
      <c r="AE11" s="11">
        <f t="shared" si="38"/>
        <v>19.095663494025757</v>
      </c>
      <c r="AF11" s="11">
        <f t="shared" si="38"/>
        <v>307.68243773736049</v>
      </c>
      <c r="AG11" s="11">
        <f t="shared" ref="AG11:AL11" si="39">+AG6-AG10</f>
        <v>739.4168592927208</v>
      </c>
      <c r="AH11" s="11">
        <f t="shared" si="39"/>
        <v>1368.5575453615193</v>
      </c>
      <c r="AI11" s="11">
        <f t="shared" si="39"/>
        <v>2267.903562907155</v>
      </c>
      <c r="AJ11" s="11">
        <f t="shared" si="39"/>
        <v>3534.8091365039145</v>
      </c>
      <c r="AK11" s="11">
        <f t="shared" si="39"/>
        <v>5299.0932831246282</v>
      </c>
      <c r="AL11" s="11">
        <f t="shared" si="39"/>
        <v>7733.4309548654637</v>
      </c>
      <c r="AM11" s="10"/>
    </row>
    <row r="12" spans="1:134" x14ac:dyDescent="0.2">
      <c r="A12" t="s">
        <v>33</v>
      </c>
      <c r="B12" s="5">
        <v>2.3E-2</v>
      </c>
      <c r="C12" s="5">
        <v>2.1000000000000001E-2</v>
      </c>
      <c r="D12" s="5">
        <v>9.9000000000000005E-2</v>
      </c>
      <c r="E12" s="5">
        <v>5.8999999999999997E-2</v>
      </c>
      <c r="F12" s="5">
        <v>1.087</v>
      </c>
      <c r="G12" s="5">
        <v>3.222</v>
      </c>
      <c r="H12" s="5">
        <v>7.1929999999999996</v>
      </c>
      <c r="I12" s="5">
        <v>9.9060000000000006</v>
      </c>
      <c r="J12" s="5">
        <v>10.535</v>
      </c>
      <c r="K12" s="5">
        <v>11.489000000000001</v>
      </c>
      <c r="L12" s="5">
        <v>11.877000000000001</v>
      </c>
      <c r="M12" s="5">
        <v>11.978999999999999</v>
      </c>
      <c r="N12" s="5">
        <v>12.082000000000001</v>
      </c>
      <c r="O12" s="5">
        <v>12.853</v>
      </c>
      <c r="P12" s="5">
        <f>+O29*0.01+O12</f>
        <v>24.10633</v>
      </c>
      <c r="Q12" s="5">
        <f>+P29*0.01+P12</f>
        <v>24.10633</v>
      </c>
      <c r="S12" s="5">
        <v>0.88600000000000001</v>
      </c>
      <c r="T12" s="5">
        <v>0.23100000000000001</v>
      </c>
      <c r="U12" s="5">
        <v>0.20200000000000001</v>
      </c>
      <c r="V12" s="5">
        <v>21.408000000000001</v>
      </c>
      <c r="W12" s="5">
        <v>45.88</v>
      </c>
      <c r="X12" s="5">
        <f>+SUM(N12:Q12)</f>
        <v>73.147660000000002</v>
      </c>
      <c r="Y12" s="5">
        <f>+X28*0.01+X12</f>
        <v>82.573278479999999</v>
      </c>
      <c r="Z12" s="5">
        <f>+Y28*0.01+Y12</f>
        <v>90.006622827741992</v>
      </c>
      <c r="AA12" s="5">
        <f>+Z28*0.01+Z12</f>
        <v>95.691971377198158</v>
      </c>
      <c r="AB12" s="5">
        <f>+AA28*0.01+AA12</f>
        <v>99.438642700227945</v>
      </c>
      <c r="AC12" s="5">
        <f>+AB28*0.01+AB12</f>
        <v>101.10711025786172</v>
      </c>
      <c r="AD12" s="5">
        <f>+AC28*0.01+AC12</f>
        <v>100.61335240541933</v>
      </c>
      <c r="AE12" s="5">
        <f>+AD28*0.01+AD12</f>
        <v>98.02425254538764</v>
      </c>
      <c r="AF12" s="5">
        <f>+AE28*0.01+AE12</f>
        <v>96.350793622067314</v>
      </c>
      <c r="AG12" s="5">
        <f>+AF28*0.01+AF12</f>
        <v>97.868581026486467</v>
      </c>
      <c r="AH12" s="5">
        <f>+AG28*0.01+AG12</f>
        <v>105.99131700942735</v>
      </c>
      <c r="AI12" s="5">
        <f>+AH28*0.01+AH12</f>
        <v>125.76237280509872</v>
      </c>
      <c r="AJ12" s="5">
        <f>+AI28*0.01+AI12</f>
        <v>164.4337830928969</v>
      </c>
      <c r="AK12" s="5">
        <f>+AJ28*0.01+AJ12</f>
        <v>232.32859624550989</v>
      </c>
      <c r="AL12" s="5">
        <f>+AK28*0.01+AK12</f>
        <v>343.91203584514693</v>
      </c>
    </row>
    <row r="13" spans="1:134" x14ac:dyDescent="0.2">
      <c r="A13" t="s">
        <v>34</v>
      </c>
      <c r="B13" s="5">
        <v>-0.30299999999999999</v>
      </c>
      <c r="C13" s="5">
        <v>-0.47899999999999998</v>
      </c>
      <c r="D13" s="5">
        <v>-3.0000000000000001E-3</v>
      </c>
      <c r="E13" s="5">
        <v>-2E-3</v>
      </c>
      <c r="F13" s="5">
        <v>-5.0000000000000001E-3</v>
      </c>
      <c r="G13" s="5">
        <v>-0.60699999999999998</v>
      </c>
      <c r="H13" s="5">
        <v>-0.61299999999999999</v>
      </c>
      <c r="I13" s="5">
        <v>-0.60499999999999998</v>
      </c>
      <c r="J13" s="5">
        <v>-0.60699999999999998</v>
      </c>
      <c r="K13" s="5">
        <v>-0.60499999999999998</v>
      </c>
      <c r="L13" s="5">
        <v>-1E-3</v>
      </c>
      <c r="M13" s="5">
        <v>-3.0000000000000001E-3</v>
      </c>
      <c r="N13" s="5">
        <v>-3.5999999999999997E-2</v>
      </c>
      <c r="O13" s="5">
        <v>-3.5999999999999997E-2</v>
      </c>
      <c r="P13" s="5">
        <v>-3.0000000000000001E-3</v>
      </c>
      <c r="Q13" s="5">
        <v>-3.0000000000000001E-3</v>
      </c>
      <c r="S13" s="5">
        <v>-2.0150000000000001</v>
      </c>
      <c r="T13" s="5">
        <v>-1.401</v>
      </c>
      <c r="U13" s="5">
        <v>-0.78700000000000003</v>
      </c>
      <c r="V13" s="5">
        <v>-1.83</v>
      </c>
      <c r="W13" s="5">
        <v>-1.216</v>
      </c>
      <c r="X13" s="5">
        <f t="shared" ref="X13:X15" si="40">+SUM(N13:Q13)</f>
        <v>-7.8E-2</v>
      </c>
      <c r="Y13" s="5">
        <f>+W13</f>
        <v>-1.216</v>
      </c>
      <c r="Z13" s="5">
        <f t="shared" ref="Z13:AG13" si="41">+X13</f>
        <v>-7.8E-2</v>
      </c>
      <c r="AA13" s="5">
        <f t="shared" si="41"/>
        <v>-1.216</v>
      </c>
      <c r="AB13" s="5">
        <f t="shared" si="41"/>
        <v>-7.8E-2</v>
      </c>
      <c r="AC13" s="5">
        <f>+AA13</f>
        <v>-1.216</v>
      </c>
      <c r="AD13" s="5">
        <f t="shared" si="41"/>
        <v>-7.8E-2</v>
      </c>
      <c r="AE13" s="5">
        <f t="shared" si="41"/>
        <v>-1.216</v>
      </c>
      <c r="AF13" s="5">
        <f t="shared" si="41"/>
        <v>-7.8E-2</v>
      </c>
      <c r="AG13" s="5">
        <f t="shared" si="41"/>
        <v>-1.216</v>
      </c>
      <c r="AH13" s="5">
        <f t="shared" ref="AH13" si="42">+AF13</f>
        <v>-7.8E-2</v>
      </c>
      <c r="AI13" s="5">
        <f t="shared" ref="AI13" si="43">+AG13</f>
        <v>-1.216</v>
      </c>
      <c r="AJ13" s="5">
        <f t="shared" ref="AJ13" si="44">+AH13</f>
        <v>-7.8E-2</v>
      </c>
      <c r="AK13" s="5">
        <f t="shared" ref="AK13" si="45">+AI13</f>
        <v>-1.216</v>
      </c>
      <c r="AL13" s="5">
        <f t="shared" ref="AL13" si="46">+AJ13</f>
        <v>-7.8E-2</v>
      </c>
    </row>
    <row r="14" spans="1:134" x14ac:dyDescent="0.2">
      <c r="A14" t="s">
        <v>36</v>
      </c>
      <c r="B14" s="5">
        <f>+B11+SUM(B12:B13)</f>
        <v>-61.892000000000003</v>
      </c>
      <c r="C14" s="5">
        <f>+C11+SUM(C12:C13)</f>
        <v>-67.613</v>
      </c>
      <c r="D14" s="5">
        <f>+D11+SUM(D12:D13)</f>
        <v>-77.277999999999992</v>
      </c>
      <c r="E14" s="5">
        <f>+E11+SUM(E12:E13)</f>
        <v>-71.034000000000006</v>
      </c>
      <c r="F14" s="5">
        <f>+F11+SUM(F12:F13)</f>
        <v>-89.213999999999984</v>
      </c>
      <c r="G14" s="5">
        <f>+G11+SUM(G12:G13)</f>
        <v>-105.57700000000001</v>
      </c>
      <c r="H14" s="5">
        <f>+H11+SUM(H12:H13)</f>
        <v>-97.478000000000009</v>
      </c>
      <c r="I14" s="5">
        <f>+I11+SUM(I12:I13)</f>
        <v>-90.729000000000013</v>
      </c>
      <c r="J14" s="5">
        <f>+J11+SUM(J12:J13)</f>
        <v>-105.44900000000001</v>
      </c>
      <c r="K14" s="5">
        <f>+K11+SUM(K12:K13)</f>
        <v>-85.117000000000004</v>
      </c>
      <c r="L14" s="5">
        <f>+L11+SUM(L12:L13)</f>
        <v>-69.518000000000015</v>
      </c>
      <c r="M14" s="5">
        <f>+M11+SUM(M12:M13)</f>
        <v>-66.860999999999962</v>
      </c>
      <c r="N14" s="5">
        <f>+N11+SUM(N12:N13)</f>
        <v>-68.554000000000016</v>
      </c>
      <c r="O14" s="5">
        <f>+O11+SUM(O12:O13)</f>
        <v>-66.563999999999993</v>
      </c>
      <c r="P14" s="5">
        <f>+P11+SUM(P12:P13)</f>
        <v>-30.334794999999986</v>
      </c>
      <c r="Q14" s="5">
        <f>+Q11+SUM(Q12:Q13)</f>
        <v>-23.88164500000002</v>
      </c>
      <c r="S14" s="5">
        <f>+S11+SUM(S12:S13)</f>
        <v>-76.113</v>
      </c>
      <c r="T14" s="5">
        <f>+T11+SUM(T12:T13)</f>
        <v>-116.68900000000001</v>
      </c>
      <c r="U14" s="5">
        <f>+U11+SUM(U12:U13)</f>
        <v>-267.81700000000001</v>
      </c>
      <c r="V14" s="5">
        <f>+V11+SUM(V12:V13)</f>
        <v>-382.99800000000005</v>
      </c>
      <c r="W14" s="5">
        <f>+W11+SUM(W12:W13)</f>
        <v>-327.04600000000011</v>
      </c>
      <c r="X14" s="5">
        <f>+X11+SUM(X12:X13)</f>
        <v>-195.3244400000001</v>
      </c>
      <c r="Y14" s="5">
        <f>+Y11+SUM(Y12:Y13)</f>
        <v>-252.18659902000002</v>
      </c>
      <c r="Z14" s="5">
        <f>+Z11+SUM(Z12:Z13)</f>
        <v>-221.26529092225763</v>
      </c>
      <c r="AA14" s="5">
        <f>+AA11+SUM(AA12:AA13)</f>
        <v>-245.40218056030159</v>
      </c>
      <c r="AB14" s="5">
        <f>+AB11+SUM(AB12:AB13)</f>
        <v>-263.06376777164667</v>
      </c>
      <c r="AC14" s="5">
        <f>+AC11+SUM(AC12:AC13)</f>
        <v>-273.69941899698148</v>
      </c>
      <c r="AD14" s="5">
        <f>+AD11+SUM(AD12:AD13)</f>
        <v>-265.23316551763457</v>
      </c>
      <c r="AE14" s="5">
        <f>+AE11+SUM(AE12:AE13)</f>
        <v>115.9039160394134</v>
      </c>
      <c r="AF14" s="5">
        <f>+AF11+SUM(AF12:AF13)</f>
        <v>403.95523135942778</v>
      </c>
      <c r="AG14" s="5">
        <f>+AG11+SUM(AG12:AG13)</f>
        <v>836.06944031920727</v>
      </c>
      <c r="AH14" s="5">
        <f>+AH11+SUM(AH12:AH13)</f>
        <v>1474.4708623709466</v>
      </c>
      <c r="AI14" s="5">
        <f>+AI11+SUM(AI12:AI13)</f>
        <v>2392.4499357122536</v>
      </c>
      <c r="AJ14" s="5">
        <f>+AJ11+SUM(AJ12:AJ13)</f>
        <v>3699.1649195968112</v>
      </c>
      <c r="AK14" s="5">
        <f>+AK11+SUM(AK12:AK13)</f>
        <v>5530.2058793701381</v>
      </c>
      <c r="AL14" s="5">
        <f>+AL11+SUM(AL12:AL13)</f>
        <v>8077.2649907106106</v>
      </c>
    </row>
    <row r="15" spans="1:134" x14ac:dyDescent="0.2">
      <c r="A15" t="s">
        <v>37</v>
      </c>
      <c r="B15" s="5">
        <v>0.14899999999999999</v>
      </c>
      <c r="C15" s="5">
        <v>0.17699999999999999</v>
      </c>
      <c r="D15" s="5">
        <v>0.26200000000000001</v>
      </c>
      <c r="E15" s="5">
        <v>0.41599999999999998</v>
      </c>
      <c r="F15" s="5">
        <v>0.32900000000000001</v>
      </c>
      <c r="G15" s="5">
        <v>-8.8439999999999994</v>
      </c>
      <c r="H15" s="5">
        <v>0.59899999999999998</v>
      </c>
      <c r="I15" s="5">
        <v>2.3029999999999999</v>
      </c>
      <c r="J15" s="5">
        <v>1.0609999999999999</v>
      </c>
      <c r="K15" s="5">
        <v>1.474</v>
      </c>
      <c r="L15" s="5">
        <v>1.3169999999999999</v>
      </c>
      <c r="M15" s="5">
        <v>2.0070000000000001</v>
      </c>
      <c r="N15" s="5">
        <v>1.512</v>
      </c>
      <c r="O15" s="5">
        <v>2.1989999999999998</v>
      </c>
      <c r="P15" s="5">
        <f>+P14*0.2</f>
        <v>-6.0669589999999971</v>
      </c>
      <c r="Q15" s="5">
        <f t="shared" ref="Q15" si="47">+Q14*0.2</f>
        <v>-4.776329000000004</v>
      </c>
      <c r="S15" s="5">
        <v>0.23699999999999999</v>
      </c>
      <c r="T15" s="5">
        <v>0.46</v>
      </c>
      <c r="U15" s="5">
        <v>1.004</v>
      </c>
      <c r="V15" s="5">
        <v>-5.6130000000000004</v>
      </c>
      <c r="W15" s="5">
        <v>5.859</v>
      </c>
      <c r="X15" s="5">
        <f t="shared" si="40"/>
        <v>-7.1322880000000008</v>
      </c>
      <c r="Y15" s="5">
        <f>+Y14*0.21</f>
        <v>-52.959185794200003</v>
      </c>
      <c r="Z15" s="5">
        <f t="shared" ref="Z15:AL15" si="48">+Z14*0.21</f>
        <v>-46.465711093674102</v>
      </c>
      <c r="AA15" s="5">
        <f t="shared" si="48"/>
        <v>-51.534457917663332</v>
      </c>
      <c r="AB15" s="5">
        <f t="shared" si="48"/>
        <v>-55.243391232045795</v>
      </c>
      <c r="AC15" s="5">
        <f t="shared" si="48"/>
        <v>-57.476877989366109</v>
      </c>
      <c r="AD15" s="5">
        <f t="shared" si="48"/>
        <v>-55.698964758703262</v>
      </c>
      <c r="AE15" s="5">
        <f t="shared" si="48"/>
        <v>24.339822368276813</v>
      </c>
      <c r="AF15" s="5">
        <f t="shared" si="48"/>
        <v>84.830598585479834</v>
      </c>
      <c r="AG15" s="5">
        <f t="shared" si="48"/>
        <v>175.57458246703351</v>
      </c>
      <c r="AH15" s="5">
        <f t="shared" si="48"/>
        <v>309.63888109789877</v>
      </c>
      <c r="AI15" s="5">
        <f t="shared" si="48"/>
        <v>502.41448649957323</v>
      </c>
      <c r="AJ15" s="5">
        <f t="shared" si="48"/>
        <v>776.82463311533036</v>
      </c>
      <c r="AK15" s="5">
        <f t="shared" si="48"/>
        <v>1161.3432346677289</v>
      </c>
      <c r="AL15" s="5">
        <f t="shared" si="48"/>
        <v>1696.2256480492281</v>
      </c>
    </row>
    <row r="16" spans="1:134" s="9" customFormat="1" x14ac:dyDescent="0.2">
      <c r="A16" s="9" t="s">
        <v>38</v>
      </c>
      <c r="B16" s="11">
        <f t="shared" ref="B16:Q16" si="49">+B14-B15</f>
        <v>-62.041000000000004</v>
      </c>
      <c r="C16" s="11">
        <f t="shared" si="49"/>
        <v>-67.790000000000006</v>
      </c>
      <c r="D16" s="11">
        <f t="shared" si="49"/>
        <v>-77.539999999999992</v>
      </c>
      <c r="E16" s="11">
        <f t="shared" si="49"/>
        <v>-71.45</v>
      </c>
      <c r="F16" s="11">
        <f t="shared" si="49"/>
        <v>-89.542999999999978</v>
      </c>
      <c r="G16" s="11">
        <f t="shared" si="49"/>
        <v>-96.733000000000018</v>
      </c>
      <c r="H16" s="11">
        <f t="shared" si="49"/>
        <v>-98.077000000000012</v>
      </c>
      <c r="I16" s="11">
        <f t="shared" si="49"/>
        <v>-93.032000000000011</v>
      </c>
      <c r="J16" s="11">
        <f t="shared" si="49"/>
        <v>-106.51000000000002</v>
      </c>
      <c r="K16" s="11">
        <f t="shared" si="49"/>
        <v>-86.591000000000008</v>
      </c>
      <c r="L16" s="11">
        <f t="shared" si="49"/>
        <v>-70.835000000000008</v>
      </c>
      <c r="M16" s="11">
        <f t="shared" si="49"/>
        <v>-68.867999999999967</v>
      </c>
      <c r="N16" s="11">
        <f t="shared" si="49"/>
        <v>-70.066000000000017</v>
      </c>
      <c r="O16" s="11">
        <f>+O14-O15</f>
        <v>-68.762999999999991</v>
      </c>
      <c r="P16" s="11">
        <f t="shared" si="49"/>
        <v>-24.267835999999988</v>
      </c>
      <c r="Q16" s="11">
        <f t="shared" si="49"/>
        <v>-19.105316000000016</v>
      </c>
      <c r="R16" s="10"/>
      <c r="S16" s="11">
        <f t="shared" ref="S16" si="50">+S14-S15</f>
        <v>-76.349999999999994</v>
      </c>
      <c r="T16" s="11">
        <f t="shared" ref="T16:U16" si="51">+T14-T15</f>
        <v>-117.149</v>
      </c>
      <c r="U16" s="11">
        <f t="shared" si="51"/>
        <v>-268.82100000000003</v>
      </c>
      <c r="V16" s="11">
        <f t="shared" ref="V16:Y16" si="52">+V14-V15</f>
        <v>-377.38500000000005</v>
      </c>
      <c r="W16" s="11">
        <f t="shared" si="52"/>
        <v>-332.90500000000009</v>
      </c>
      <c r="X16" s="11">
        <f t="shared" si="52"/>
        <v>-188.19215200000011</v>
      </c>
      <c r="Y16" s="11">
        <f t="shared" si="52"/>
        <v>-199.22741322580001</v>
      </c>
      <c r="Z16" s="11">
        <f t="shared" ref="Z16:AF16" si="53">+Z14-Z15</f>
        <v>-174.79957982858355</v>
      </c>
      <c r="AA16" s="11">
        <f t="shared" si="53"/>
        <v>-193.86772264263826</v>
      </c>
      <c r="AB16" s="11">
        <f t="shared" si="53"/>
        <v>-207.82037653960089</v>
      </c>
      <c r="AC16" s="11">
        <f t="shared" si="53"/>
        <v>-216.22254100761538</v>
      </c>
      <c r="AD16" s="11">
        <f t="shared" si="53"/>
        <v>-209.53420075893132</v>
      </c>
      <c r="AE16" s="11">
        <f t="shared" si="53"/>
        <v>91.56409367113659</v>
      </c>
      <c r="AF16" s="11">
        <f t="shared" si="53"/>
        <v>319.12463277394795</v>
      </c>
      <c r="AG16" s="11">
        <f t="shared" ref="AG16:AL16" si="54">+AG14-AG15</f>
        <v>660.49485785217371</v>
      </c>
      <c r="AH16" s="11">
        <f t="shared" si="54"/>
        <v>1164.8319812730479</v>
      </c>
      <c r="AI16" s="11">
        <f t="shared" si="54"/>
        <v>1890.0354492126803</v>
      </c>
      <c r="AJ16" s="11">
        <f t="shared" si="54"/>
        <v>2922.3402864814807</v>
      </c>
      <c r="AK16" s="11">
        <f t="shared" si="54"/>
        <v>4368.8626447024089</v>
      </c>
      <c r="AL16" s="11">
        <f t="shared" si="54"/>
        <v>6381.0393426613828</v>
      </c>
      <c r="AM16" s="11">
        <f t="shared" ref="AM16:BR16" si="55">+AL16*(1+$AO$19)</f>
        <v>6189.6081623815408</v>
      </c>
      <c r="AN16" s="11">
        <f t="shared" si="55"/>
        <v>6003.9199175100939</v>
      </c>
      <c r="AO16" s="11">
        <f t="shared" si="55"/>
        <v>5823.8023199847912</v>
      </c>
      <c r="AP16" s="11">
        <f t="shared" si="55"/>
        <v>5649.0882503852472</v>
      </c>
      <c r="AQ16" s="11">
        <f t="shared" si="55"/>
        <v>5479.6156028736896</v>
      </c>
      <c r="AR16" s="11">
        <f t="shared" si="55"/>
        <v>5315.2271347874785</v>
      </c>
      <c r="AS16" s="11">
        <f t="shared" si="55"/>
        <v>5155.7703207438535</v>
      </c>
      <c r="AT16" s="11">
        <f t="shared" si="55"/>
        <v>5001.0972111215378</v>
      </c>
      <c r="AU16" s="11">
        <f t="shared" si="55"/>
        <v>4851.0642947878914</v>
      </c>
      <c r="AV16" s="11">
        <f t="shared" si="55"/>
        <v>4705.5323659442547</v>
      </c>
      <c r="AW16" s="11">
        <f t="shared" si="55"/>
        <v>4564.3663949659267</v>
      </c>
      <c r="AX16" s="11">
        <f t="shared" si="55"/>
        <v>4427.4354031169487</v>
      </c>
      <c r="AY16" s="11">
        <f t="shared" si="55"/>
        <v>4294.6123410234404</v>
      </c>
      <c r="AZ16" s="11">
        <f t="shared" si="55"/>
        <v>4165.7739707927367</v>
      </c>
      <c r="BA16" s="11">
        <f t="shared" si="55"/>
        <v>4040.8007516689545</v>
      </c>
      <c r="BB16" s="11">
        <f t="shared" si="55"/>
        <v>3919.5767291188859</v>
      </c>
      <c r="BC16" s="11">
        <f t="shared" si="55"/>
        <v>3801.9894272453193</v>
      </c>
      <c r="BD16" s="11">
        <f t="shared" si="55"/>
        <v>3687.9297444279596</v>
      </c>
      <c r="BE16" s="11">
        <f t="shared" si="55"/>
        <v>3577.2918520951207</v>
      </c>
      <c r="BF16" s="11">
        <f t="shared" si="55"/>
        <v>3469.9730965322669</v>
      </c>
      <c r="BG16" s="11">
        <f t="shared" si="55"/>
        <v>3365.873903636299</v>
      </c>
      <c r="BH16" s="11">
        <f t="shared" si="55"/>
        <v>3264.8976865272098</v>
      </c>
      <c r="BI16" s="11">
        <f t="shared" si="55"/>
        <v>3166.9507559313934</v>
      </c>
      <c r="BJ16" s="11">
        <f t="shared" si="55"/>
        <v>3071.9422332534514</v>
      </c>
      <c r="BK16" s="11">
        <f t="shared" si="55"/>
        <v>2979.7839662558476</v>
      </c>
      <c r="BL16" s="11">
        <f t="shared" si="55"/>
        <v>2890.390447268172</v>
      </c>
      <c r="BM16" s="11">
        <f t="shared" si="55"/>
        <v>2803.6787338501267</v>
      </c>
      <c r="BN16" s="11">
        <f t="shared" si="55"/>
        <v>2719.5683718346227</v>
      </c>
      <c r="BO16" s="11">
        <f t="shared" si="55"/>
        <v>2637.9813206795839</v>
      </c>
      <c r="BP16" s="11">
        <f t="shared" si="55"/>
        <v>2558.8418810591961</v>
      </c>
      <c r="BQ16" s="11">
        <f t="shared" si="55"/>
        <v>2482.0766246274202</v>
      </c>
      <c r="BR16" s="11">
        <f t="shared" si="55"/>
        <v>2407.6143258885977</v>
      </c>
      <c r="BS16" s="11">
        <f t="shared" ref="BS16:CX16" si="56">+BR16*(1+$AO$19)</f>
        <v>2335.3858961119399</v>
      </c>
      <c r="BT16" s="11">
        <f t="shared" si="56"/>
        <v>2265.3243192285818</v>
      </c>
      <c r="BU16" s="11">
        <f t="shared" si="56"/>
        <v>2197.3645896517241</v>
      </c>
      <c r="BV16" s="11">
        <f t="shared" si="56"/>
        <v>2131.4436519621722</v>
      </c>
      <c r="BW16" s="11">
        <f t="shared" si="56"/>
        <v>2067.5003424033071</v>
      </c>
      <c r="BX16" s="11">
        <f t="shared" si="56"/>
        <v>2005.4753321312078</v>
      </c>
      <c r="BY16" s="11">
        <f t="shared" si="56"/>
        <v>1945.3110721672715</v>
      </c>
      <c r="BZ16" s="11">
        <f t="shared" si="56"/>
        <v>1886.9517400022532</v>
      </c>
      <c r="CA16" s="11">
        <f t="shared" si="56"/>
        <v>1830.3431878021856</v>
      </c>
      <c r="CB16" s="11">
        <f t="shared" si="56"/>
        <v>1775.4328921681201</v>
      </c>
      <c r="CC16" s="11">
        <f t="shared" si="56"/>
        <v>1722.1699054030764</v>
      </c>
      <c r="CD16" s="11">
        <f t="shared" si="56"/>
        <v>1670.5048082409842</v>
      </c>
      <c r="CE16" s="11">
        <f t="shared" si="56"/>
        <v>1620.3896639937545</v>
      </c>
      <c r="CF16" s="11">
        <f t="shared" si="56"/>
        <v>1571.7779740739418</v>
      </c>
      <c r="CG16" s="11">
        <f t="shared" si="56"/>
        <v>1524.6246348517234</v>
      </c>
      <c r="CH16" s="11">
        <f t="shared" si="56"/>
        <v>1478.8858958061717</v>
      </c>
      <c r="CI16" s="11">
        <f t="shared" si="56"/>
        <v>1434.5193189319864</v>
      </c>
      <c r="CJ16" s="11">
        <f t="shared" si="56"/>
        <v>1391.4837393640269</v>
      </c>
      <c r="CK16" s="11">
        <f t="shared" si="56"/>
        <v>1349.7392271831061</v>
      </c>
      <c r="CL16" s="11">
        <f t="shared" si="56"/>
        <v>1309.2470503676129</v>
      </c>
      <c r="CM16" s="11">
        <f t="shared" si="56"/>
        <v>1269.9696388565844</v>
      </c>
      <c r="CN16" s="11">
        <f t="shared" si="56"/>
        <v>1231.8705496908869</v>
      </c>
      <c r="CO16" s="11">
        <f t="shared" si="56"/>
        <v>1194.9144332001604</v>
      </c>
      <c r="CP16" s="11">
        <f t="shared" si="56"/>
        <v>1159.0670002041554</v>
      </c>
      <c r="CQ16" s="11">
        <f t="shared" si="56"/>
        <v>1124.2949901980307</v>
      </c>
      <c r="CR16" s="11">
        <f t="shared" si="56"/>
        <v>1090.5661404920897</v>
      </c>
      <c r="CS16" s="11">
        <f t="shared" si="56"/>
        <v>1057.849156277327</v>
      </c>
      <c r="CT16" s="11">
        <f t="shared" si="56"/>
        <v>1026.1136815890072</v>
      </c>
      <c r="CU16" s="11">
        <f t="shared" si="56"/>
        <v>995.33027114133699</v>
      </c>
      <c r="CV16" s="11">
        <f t="shared" si="56"/>
        <v>965.47036300709681</v>
      </c>
      <c r="CW16" s="11">
        <f t="shared" si="56"/>
        <v>936.50625211688384</v>
      </c>
      <c r="CX16" s="11">
        <f t="shared" si="56"/>
        <v>908.41106455337729</v>
      </c>
      <c r="CY16" s="11">
        <f t="shared" ref="CY16:ED16" si="57">+CX16*(1+$AO$19)</f>
        <v>881.15873261677598</v>
      </c>
      <c r="CZ16" s="11">
        <f t="shared" si="57"/>
        <v>854.7239706382727</v>
      </c>
      <c r="DA16" s="11">
        <f t="shared" si="57"/>
        <v>829.0822515191245</v>
      </c>
      <c r="DB16" s="11">
        <f t="shared" si="57"/>
        <v>804.20978397355077</v>
      </c>
      <c r="DC16" s="11">
        <f t="shared" si="57"/>
        <v>780.0834904543442</v>
      </c>
      <c r="DD16" s="11">
        <f t="shared" si="57"/>
        <v>756.68098574071382</v>
      </c>
      <c r="DE16" s="11">
        <f t="shared" si="57"/>
        <v>733.9805561684924</v>
      </c>
      <c r="DF16" s="11">
        <f t="shared" si="57"/>
        <v>711.96113948343759</v>
      </c>
      <c r="DG16" s="11">
        <f t="shared" si="57"/>
        <v>690.60230529893443</v>
      </c>
      <c r="DH16" s="11">
        <f t="shared" si="57"/>
        <v>669.88423613996633</v>
      </c>
      <c r="DI16" s="11">
        <f t="shared" si="57"/>
        <v>649.78770905576732</v>
      </c>
      <c r="DJ16" s="11">
        <f t="shared" si="57"/>
        <v>630.29407778409427</v>
      </c>
      <c r="DK16" s="11">
        <f t="shared" si="57"/>
        <v>611.38525545057144</v>
      </c>
      <c r="DL16" s="11">
        <f t="shared" si="57"/>
        <v>593.04369778705427</v>
      </c>
      <c r="DM16" s="11">
        <f t="shared" si="57"/>
        <v>575.25238685344266</v>
      </c>
      <c r="DN16" s="11">
        <f t="shared" si="57"/>
        <v>557.99481524783937</v>
      </c>
      <c r="DO16" s="11">
        <f t="shared" si="57"/>
        <v>541.25497079040417</v>
      </c>
      <c r="DP16" s="11">
        <f t="shared" si="57"/>
        <v>525.01732166669206</v>
      </c>
      <c r="DQ16" s="11">
        <f t="shared" si="57"/>
        <v>509.26680201669126</v>
      </c>
      <c r="DR16" s="11">
        <f t="shared" si="57"/>
        <v>493.98879795619052</v>
      </c>
      <c r="DS16" s="11">
        <f t="shared" si="57"/>
        <v>479.1691340175048</v>
      </c>
      <c r="DT16" s="11">
        <f t="shared" si="57"/>
        <v>464.79405999697963</v>
      </c>
      <c r="DU16" s="11">
        <f t="shared" si="57"/>
        <v>450.85023819707021</v>
      </c>
      <c r="DV16" s="11">
        <f t="shared" si="57"/>
        <v>437.3247310511581</v>
      </c>
      <c r="DW16" s="11">
        <f t="shared" si="57"/>
        <v>424.20498911962335</v>
      </c>
      <c r="DX16" s="11">
        <f t="shared" si="57"/>
        <v>411.47883944603461</v>
      </c>
      <c r="DY16" s="11">
        <f t="shared" si="57"/>
        <v>399.13447426265355</v>
      </c>
      <c r="DZ16" s="11">
        <f t="shared" si="57"/>
        <v>387.16044003477396</v>
      </c>
      <c r="EA16" s="11">
        <f t="shared" si="57"/>
        <v>375.54562683373075</v>
      </c>
      <c r="EB16" s="11">
        <f t="shared" si="57"/>
        <v>364.2792580287188</v>
      </c>
      <c r="EC16" s="11">
        <f t="shared" si="57"/>
        <v>353.35088028785725</v>
      </c>
      <c r="ED16" s="11">
        <f t="shared" si="57"/>
        <v>342.75035387922151</v>
      </c>
    </row>
    <row r="17" spans="1:41" x14ac:dyDescent="0.2">
      <c r="A17" t="s">
        <v>39</v>
      </c>
      <c r="B17" s="8">
        <f t="shared" ref="B17:N17" si="58">+B16/B18</f>
        <v>-1.3568080079599869</v>
      </c>
      <c r="C17" s="8">
        <f t="shared" si="58"/>
        <v>-0.5624789718617883</v>
      </c>
      <c r="D17" s="8">
        <f t="shared" si="58"/>
        <v>-0.29482941861475154</v>
      </c>
      <c r="E17" s="8">
        <f t="shared" si="58"/>
        <v>-0.26883542443146086</v>
      </c>
      <c r="F17" s="8">
        <f t="shared" si="58"/>
        <v>-0.33213948508197849</v>
      </c>
      <c r="G17" s="8">
        <f t="shared" si="58"/>
        <v>-0.34869139543378108</v>
      </c>
      <c r="H17" s="8">
        <f t="shared" si="58"/>
        <v>-0.34948239639170914</v>
      </c>
      <c r="I17" s="8">
        <f t="shared" si="58"/>
        <v>-0.32810306741805628</v>
      </c>
      <c r="J17" s="8">
        <f t="shared" si="58"/>
        <v>-0.36944065051800695</v>
      </c>
      <c r="K17" s="8">
        <f t="shared" si="58"/>
        <v>-0.29536064931739137</v>
      </c>
      <c r="L17" s="8">
        <f t="shared" si="58"/>
        <v>-0.23878239512060997</v>
      </c>
      <c r="M17" s="8">
        <f t="shared" si="58"/>
        <v>-0.22852688555859829</v>
      </c>
      <c r="N17" s="8">
        <f t="shared" si="58"/>
        <v>-0.22634961133436721</v>
      </c>
      <c r="O17" s="8">
        <f t="shared" ref="O17" si="59">+O16/O18</f>
        <v>-0.2221402438298902</v>
      </c>
      <c r="P17" s="5"/>
      <c r="Q17" s="5"/>
      <c r="S17" s="8">
        <f t="shared" ref="S17" si="60">+S16/S18</f>
        <v>-2.3339808971229519</v>
      </c>
      <c r="T17" s="8">
        <f t="shared" ref="T17:U17" si="61">+T16/T18</f>
        <v>-3.301604590709704</v>
      </c>
      <c r="U17" s="8">
        <f t="shared" si="61"/>
        <v>-1.5444937775006362</v>
      </c>
      <c r="V17" s="8">
        <f t="shared" ref="V17:AL17" si="62">+V16/V18</f>
        <v>-1.3584633313045686</v>
      </c>
      <c r="W17" s="8">
        <f t="shared" si="62"/>
        <v>-1.1287841062640727</v>
      </c>
      <c r="X17" s="8">
        <f t="shared" si="62"/>
        <v>-0.63810489509389345</v>
      </c>
      <c r="Y17" s="8">
        <f t="shared" si="62"/>
        <v>-0.67552225884678119</v>
      </c>
      <c r="Z17" s="8">
        <f t="shared" si="62"/>
        <v>-0.59269457500531098</v>
      </c>
      <c r="AA17" s="8">
        <f t="shared" si="62"/>
        <v>-0.65734910571070271</v>
      </c>
      <c r="AB17" s="8">
        <f t="shared" si="62"/>
        <v>-0.70465850015985454</v>
      </c>
      <c r="AC17" s="8">
        <f t="shared" si="62"/>
        <v>-0.73314779803676089</v>
      </c>
      <c r="AD17" s="8">
        <f t="shared" si="62"/>
        <v>-0.71046958001660232</v>
      </c>
      <c r="AE17" s="8">
        <f t="shared" si="62"/>
        <v>0.31046723131359916</v>
      </c>
      <c r="AF17" s="8">
        <f t="shared" si="62"/>
        <v>1.0820588858460856</v>
      </c>
      <c r="AG17" s="8">
        <f t="shared" si="62"/>
        <v>2.2395461101896381</v>
      </c>
      <c r="AH17" s="8">
        <f t="shared" si="62"/>
        <v>3.9496067254294949</v>
      </c>
      <c r="AI17" s="8">
        <f t="shared" si="62"/>
        <v>6.4085609268318287</v>
      </c>
      <c r="AJ17" s="8">
        <f t="shared" si="62"/>
        <v>9.9088066219356623</v>
      </c>
      <c r="AK17" s="8">
        <f t="shared" si="62"/>
        <v>14.813543550835526</v>
      </c>
      <c r="AL17" s="8">
        <f t="shared" si="62"/>
        <v>21.636249955518579</v>
      </c>
    </row>
    <row r="18" spans="1:41" x14ac:dyDescent="0.2">
      <c r="A18" t="s">
        <v>4</v>
      </c>
      <c r="B18" s="14">
        <v>45.725703000000003</v>
      </c>
      <c r="C18" s="14">
        <v>120.520061</v>
      </c>
      <c r="D18" s="5">
        <v>262.99953499999998</v>
      </c>
      <c r="E18" s="5">
        <v>265.77598599999999</v>
      </c>
      <c r="F18" s="5">
        <v>269.59456499999999</v>
      </c>
      <c r="G18" s="5">
        <v>277.41722700000003</v>
      </c>
      <c r="H18" s="5">
        <v>280.63502199999999</v>
      </c>
      <c r="I18" s="5">
        <v>283.54504800000001</v>
      </c>
      <c r="J18" s="5">
        <v>288.30070499999999</v>
      </c>
      <c r="K18" s="5">
        <v>293.17040100000003</v>
      </c>
      <c r="L18" s="5">
        <v>296.650848</v>
      </c>
      <c r="M18" s="5">
        <v>301.35622699999999</v>
      </c>
      <c r="N18" s="5">
        <v>309.54769299999998</v>
      </c>
      <c r="O18" s="5">
        <v>309.54769299999998</v>
      </c>
      <c r="P18" s="5"/>
      <c r="Q18" s="5"/>
      <c r="S18" s="5">
        <v>32.712350000000001</v>
      </c>
      <c r="T18" s="5">
        <v>35.482444000000001</v>
      </c>
      <c r="U18" s="5">
        <v>174.05120299999999</v>
      </c>
      <c r="V18" s="5">
        <v>277.80286100000001</v>
      </c>
      <c r="W18" s="5">
        <v>294.92353600000001</v>
      </c>
      <c r="X18" s="5">
        <v>294.92353600000001</v>
      </c>
      <c r="Y18" s="5">
        <v>294.92353600000001</v>
      </c>
      <c r="Z18" s="5">
        <v>294.92353600000001</v>
      </c>
      <c r="AA18" s="5">
        <v>294.92353600000001</v>
      </c>
      <c r="AB18" s="5">
        <v>294.92353600000001</v>
      </c>
      <c r="AC18" s="5">
        <v>294.92353600000001</v>
      </c>
      <c r="AD18" s="5">
        <v>294.92353600000001</v>
      </c>
      <c r="AE18" s="5">
        <v>294.92353600000001</v>
      </c>
      <c r="AF18" s="5">
        <v>294.92353600000001</v>
      </c>
      <c r="AG18" s="5">
        <v>294.92353600000001</v>
      </c>
      <c r="AH18" s="5">
        <v>294.92353600000001</v>
      </c>
      <c r="AI18" s="5">
        <v>294.92353600000001</v>
      </c>
      <c r="AJ18" s="5">
        <v>294.92353600000001</v>
      </c>
      <c r="AK18" s="5">
        <v>294.92353600000001</v>
      </c>
      <c r="AL18" s="5">
        <v>294.92353600000001</v>
      </c>
    </row>
    <row r="19" spans="1:41" x14ac:dyDescent="0.2">
      <c r="B19" s="14"/>
      <c r="C19" s="14"/>
      <c r="D19" s="5"/>
      <c r="E19" s="5"/>
      <c r="F19" s="5"/>
      <c r="G19" s="5"/>
      <c r="H19" s="5"/>
      <c r="I19" s="5"/>
      <c r="J19" s="5"/>
      <c r="K19" s="5"/>
      <c r="L19" s="5"/>
      <c r="N19" s="5"/>
      <c r="O19" s="5"/>
      <c r="P19" s="5"/>
      <c r="Q19" s="5"/>
      <c r="S19" s="5"/>
      <c r="T19" s="5"/>
      <c r="U19" s="5"/>
      <c r="V19" s="5"/>
      <c r="W19" s="5"/>
      <c r="X19" s="5"/>
      <c r="Y19" s="5"/>
      <c r="Z19" s="5"/>
      <c r="AA19" s="5"/>
      <c r="AN19" s="15" t="s">
        <v>73</v>
      </c>
      <c r="AO19" s="7">
        <v>-0.03</v>
      </c>
    </row>
    <row r="20" spans="1:41" s="6" customFormat="1" x14ac:dyDescent="0.2">
      <c r="A20" s="6" t="s">
        <v>79</v>
      </c>
      <c r="B20" s="7">
        <f>+B7/B4</f>
        <v>0.74394972589918429</v>
      </c>
      <c r="C20" s="7">
        <f>+C7/C4</f>
        <v>0.67840437158469946</v>
      </c>
      <c r="D20" s="7">
        <f>+D7/D4</f>
        <v>0.62074690278124889</v>
      </c>
      <c r="E20" s="7">
        <f>+E7/E4</f>
        <v>0.64970443049545978</v>
      </c>
      <c r="F20" s="7">
        <f>+F7/F4</f>
        <v>0.58630119481183318</v>
      </c>
      <c r="G20" s="7">
        <f>+G7/G4</f>
        <v>0.53645188039607827</v>
      </c>
      <c r="H20" s="7">
        <f>+H7/H4</f>
        <v>0.45293653477623724</v>
      </c>
      <c r="I20" s="7">
        <f>+I7/I4</f>
        <v>0.42748382185001904</v>
      </c>
      <c r="J20" s="7">
        <f>+J7/J4</f>
        <v>0.41428710651983236</v>
      </c>
      <c r="K20" s="7">
        <f>+K7/K4</f>
        <v>0.36247247709491975</v>
      </c>
      <c r="L20" s="7">
        <f>+L7/L4</f>
        <v>0.31861846313160541</v>
      </c>
      <c r="M20" s="7">
        <f>+M7/M4</f>
        <v>0.3240763599827759</v>
      </c>
      <c r="N20" s="7">
        <f>+N7/N4</f>
        <v>0.31295645407957928</v>
      </c>
      <c r="O20" s="7">
        <f>+O7/O4</f>
        <v>0.31970925468867023</v>
      </c>
      <c r="P20" s="7"/>
      <c r="Q20" s="7"/>
      <c r="R20" s="7"/>
      <c r="S20" s="7">
        <f>+S7/S4</f>
        <v>0.7893230623574472</v>
      </c>
      <c r="T20" s="7">
        <f>+T7/T4</f>
        <v>0.67103679504814306</v>
      </c>
      <c r="U20" s="7">
        <f>+U7/U4</f>
        <v>0.6654036396662093</v>
      </c>
      <c r="V20" s="7">
        <f>+V7/V4</f>
        <v>0.49033229980648024</v>
      </c>
      <c r="W20" s="7">
        <f>+W7/W4</f>
        <v>0.35124300898005967</v>
      </c>
      <c r="X20" s="7">
        <f>+X7/X4</f>
        <v>0.3</v>
      </c>
      <c r="Y20" s="7">
        <f>+Y7/Y4</f>
        <v>0.3</v>
      </c>
      <c r="Z20" s="7">
        <f>+Z7/Z4</f>
        <v>0.25</v>
      </c>
      <c r="AA20" s="7">
        <f>+AA7/AA4</f>
        <v>0.25</v>
      </c>
      <c r="AB20" s="7">
        <f>+AB7/AB4</f>
        <v>0.25</v>
      </c>
      <c r="AC20" s="7">
        <f>+AC7/AC4</f>
        <v>0.25</v>
      </c>
      <c r="AD20" s="7">
        <f>+AD7/AD4</f>
        <v>0.25</v>
      </c>
      <c r="AE20" s="7">
        <f>+AE7/AE4</f>
        <v>0.19999999999999998</v>
      </c>
      <c r="AF20" s="7">
        <f>+AF7/AF4</f>
        <v>0.2</v>
      </c>
      <c r="AG20" s="7">
        <f>+AG7/AG4</f>
        <v>0.2</v>
      </c>
      <c r="AH20" s="7">
        <f>+AH7/AH4</f>
        <v>0.2</v>
      </c>
      <c r="AI20" s="7">
        <f>+AI7/AI4</f>
        <v>0.2</v>
      </c>
      <c r="AJ20" s="7">
        <f>+AJ7/AJ4</f>
        <v>0.2</v>
      </c>
      <c r="AK20" s="7">
        <f>+AK7/AK4</f>
        <v>0.2</v>
      </c>
      <c r="AL20" s="7">
        <f>+AL7/AL4</f>
        <v>0.2</v>
      </c>
      <c r="AM20" s="7"/>
      <c r="AN20" s="15" t="s">
        <v>74</v>
      </c>
      <c r="AO20" s="7">
        <v>0.11</v>
      </c>
    </row>
    <row r="21" spans="1:41" s="6" customFormat="1" x14ac:dyDescent="0.2">
      <c r="A21" s="6" t="s">
        <v>40</v>
      </c>
      <c r="B21" s="7">
        <f>+B6/B4</f>
        <v>0.51108436956812409</v>
      </c>
      <c r="C21" s="7">
        <f>+C6/C4</f>
        <v>0.58933333333333338</v>
      </c>
      <c r="D21" s="7">
        <f>+D6/D4</f>
        <v>0.45808490128173091</v>
      </c>
      <c r="E21" s="7">
        <f>+E6/E4</f>
        <v>0.63055335486623199</v>
      </c>
      <c r="F21" s="7">
        <f>+F6/F4</f>
        <v>0.65319787872979362</v>
      </c>
      <c r="G21" s="7">
        <f>+G6/G4</f>
        <v>0.64625140237061607</v>
      </c>
      <c r="H21" s="7">
        <f>+H6/H4</f>
        <v>0.64442478950426196</v>
      </c>
      <c r="I21" s="7">
        <f>+I6/I4</f>
        <v>0.68459744956223834</v>
      </c>
      <c r="J21" s="7">
        <f>+J6/J4</f>
        <v>0.68077035526601848</v>
      </c>
      <c r="K21" s="7">
        <f>+K6/K4</f>
        <v>0.70106611520469009</v>
      </c>
      <c r="L21" s="7">
        <f>+L6/L4</f>
        <v>0.73340846099960399</v>
      </c>
      <c r="M21" s="7">
        <f>+M6/M4</f>
        <v>0.72288790010047377</v>
      </c>
      <c r="N21" s="7">
        <f>+N6/N4</f>
        <v>0.73095972740200155</v>
      </c>
      <c r="O21" s="7">
        <f>+O6/O4</f>
        <v>0.74515047477342067</v>
      </c>
      <c r="P21" s="7"/>
      <c r="Q21" s="7"/>
      <c r="R21" s="7"/>
      <c r="S21" s="7">
        <f>+S6/S4</f>
        <v>0.60556440160089509</v>
      </c>
      <c r="T21" s="7">
        <f>+T6/T4</f>
        <v>0.57732977991746903</v>
      </c>
      <c r="U21" s="7">
        <f>+U6/U4</f>
        <v>0.60118457609656295</v>
      </c>
      <c r="V21" s="7">
        <f>+V6/V4</f>
        <v>0.6584931983826765</v>
      </c>
      <c r="W21" s="7">
        <f>+W6/W4</f>
        <v>0.71137431297230636</v>
      </c>
      <c r="X21" s="7">
        <f>+X6/X4</f>
        <v>0.74453058533523031</v>
      </c>
      <c r="Y21" s="7">
        <f>+Y6/Y4</f>
        <v>0.75</v>
      </c>
      <c r="Z21" s="7">
        <f>+Z6/Z4</f>
        <v>0.75000000000000011</v>
      </c>
      <c r="AA21" s="7">
        <f>+AA6/AA4</f>
        <v>0.75</v>
      </c>
      <c r="AB21" s="7">
        <f>+AB6/AB4</f>
        <v>0.75</v>
      </c>
      <c r="AC21" s="7">
        <f>+AC6/AC4</f>
        <v>0.74999999999999989</v>
      </c>
      <c r="AD21" s="7">
        <f>+AD6/AD4</f>
        <v>0.75</v>
      </c>
      <c r="AE21" s="7">
        <f>+AE6/AE4</f>
        <v>0.75</v>
      </c>
      <c r="AF21" s="7">
        <f>+AF6/AF4</f>
        <v>0.75</v>
      </c>
      <c r="AG21" s="7">
        <f>+AG6/AG4</f>
        <v>0.75</v>
      </c>
      <c r="AH21" s="7">
        <f>+AH6/AH4</f>
        <v>0.75</v>
      </c>
      <c r="AI21" s="7">
        <f>+AI6/AI4</f>
        <v>0.75</v>
      </c>
      <c r="AJ21" s="7">
        <f>+AJ6/AJ4</f>
        <v>0.75</v>
      </c>
      <c r="AK21" s="7">
        <f>+AK6/AK4</f>
        <v>0.75</v>
      </c>
      <c r="AL21" s="7">
        <f>+AL6/AL4</f>
        <v>0.75</v>
      </c>
      <c r="AM21" s="7"/>
      <c r="AN21" s="16" t="s">
        <v>75</v>
      </c>
      <c r="AO21" s="17">
        <f>NPV(AO20,X16:ED16)</f>
        <v>12720.451337816827</v>
      </c>
    </row>
    <row r="22" spans="1:41" s="6" customFormat="1" x14ac:dyDescent="0.2">
      <c r="A22" s="6" t="s">
        <v>41</v>
      </c>
      <c r="B22" s="7">
        <f>+B11/B4</f>
        <v>-1.647599946516914</v>
      </c>
      <c r="C22" s="7">
        <f>+C11/C4</f>
        <v>-1.4678688524590164</v>
      </c>
      <c r="D22" s="7">
        <f>+D11/D4</f>
        <v>-1.3812346031632687</v>
      </c>
      <c r="E22" s="7">
        <f>+E11/E4</f>
        <v>-1.0831098787250901</v>
      </c>
      <c r="F22" s="7">
        <f>+F11/F4</f>
        <v>-1.1538687623794004</v>
      </c>
      <c r="G22" s="7">
        <f>+G11/G4</f>
        <v>-1.0554802204770499</v>
      </c>
      <c r="H22" s="7">
        <f>+H11/H4</f>
        <v>-0.90231783772534546</v>
      </c>
      <c r="I22" s="7">
        <f>+I11/I4</f>
        <v>-0.79328448166476351</v>
      </c>
      <c r="J22" s="7">
        <f>+J11/J4</f>
        <v>-0.86494043915347885</v>
      </c>
      <c r="K22" s="7">
        <f>+K11/K4</f>
        <v>-0.64248666519431674</v>
      </c>
      <c r="L22" s="7">
        <f>+L11/L4</f>
        <v>-0.49580604879237367</v>
      </c>
      <c r="M22" s="7">
        <f>+M11/M4</f>
        <v>-0.45263097459451673</v>
      </c>
      <c r="N22" s="7">
        <f>+N11/N4</f>
        <v>-0.43250784792466007</v>
      </c>
      <c r="O22" s="7">
        <f>+O11/O4</f>
        <v>-0.39902582224523342</v>
      </c>
      <c r="P22" s="7"/>
      <c r="Q22" s="7"/>
      <c r="R22" s="7"/>
      <c r="S22" s="7">
        <f>+S11/S4</f>
        <v>-1.6134612901837586</v>
      </c>
      <c r="T22" s="7">
        <f>+T11/T4</f>
        <v>-1.2413922799174693</v>
      </c>
      <c r="U22" s="7">
        <f>+U11/U4</f>
        <v>-1.3048501213384831</v>
      </c>
      <c r="V22" s="7">
        <f>+V11/V4</f>
        <v>-0.95356708884146313</v>
      </c>
      <c r="W22" s="7">
        <f>+W11/W4</f>
        <v>-0.59841842763630293</v>
      </c>
      <c r="X22" s="7">
        <f>+X11/X4</f>
        <v>-0.32527334954080195</v>
      </c>
      <c r="Y22" s="7">
        <f>+Y11/Y4</f>
        <v>-0.31094611719010296</v>
      </c>
      <c r="Z22" s="7">
        <f>+Z11/Z4</f>
        <v>-0.22316182644632063</v>
      </c>
      <c r="AA22" s="7">
        <f>+AA11/AA4</f>
        <v>-0.18748594168424695</v>
      </c>
      <c r="AB22" s="7">
        <f>+AB11/AB4</f>
        <v>-0.15378697313304457</v>
      </c>
      <c r="AC22" s="7">
        <f>+AC11/AC4</f>
        <v>-0.12194236503099208</v>
      </c>
      <c r="AD22" s="7">
        <f>+AD11/AD4</f>
        <v>-9.183785380126798E-2</v>
      </c>
      <c r="AE22" s="7">
        <f>+AE11/AE4</f>
        <v>3.6881349526757491E-3</v>
      </c>
      <c r="AF22" s="7">
        <f>+AF11/AF4</f>
        <v>4.5712124571700756E-2</v>
      </c>
      <c r="AG22" s="7">
        <f>+AG11/AG4</f>
        <v>8.4503499604646884E-2</v>
      </c>
      <c r="AH22" s="7">
        <f>+AH11/AH4</f>
        <v>0.12031092271198174</v>
      </c>
      <c r="AI22" s="7">
        <f>+AI11/AI4</f>
        <v>0.15336392865721399</v>
      </c>
      <c r="AJ22" s="7">
        <f>+AJ11/AJ4</f>
        <v>0.18387439568358208</v>
      </c>
      <c r="AK22" s="7">
        <f>+AK11/AK4</f>
        <v>0.212037903707922</v>
      </c>
      <c r="AL22" s="7">
        <f>+AL11/AL4</f>
        <v>0.23803498803808193</v>
      </c>
      <c r="AM22" s="7"/>
      <c r="AN22" s="16" t="s">
        <v>56</v>
      </c>
      <c r="AO22" s="5">
        <f>+W28</f>
        <v>1130.7539999999999</v>
      </c>
    </row>
    <row r="23" spans="1:41" s="6" customFormat="1" x14ac:dyDescent="0.2">
      <c r="A23" s="6" t="s">
        <v>42</v>
      </c>
      <c r="B23" s="7">
        <f>+B16/B4</f>
        <v>-1.65907206845835</v>
      </c>
      <c r="C23" s="7">
        <f>+C16/C4</f>
        <v>-1.4817486338797816</v>
      </c>
      <c r="D23" s="7">
        <f>+D16/D4</f>
        <v>-1.3841979363775927</v>
      </c>
      <c r="E23" s="7">
        <f>+E16/E4</f>
        <v>-1.0885794381132308</v>
      </c>
      <c r="F23" s="7">
        <f>+F16/F4</f>
        <v>-1.144246374033608</v>
      </c>
      <c r="G23" s="7">
        <f>+G16/G4</f>
        <v>-0.94369055168040605</v>
      </c>
      <c r="H23" s="7">
        <f>+H16/H4</f>
        <v>-0.85045480953495844</v>
      </c>
      <c r="I23" s="7">
        <f>+I16/I4</f>
        <v>-0.73778708285750549</v>
      </c>
      <c r="J23" s="7">
        <f>+J16/J4</f>
        <v>-0.79846768571064464</v>
      </c>
      <c r="K23" s="7">
        <f>+K16/K4</f>
        <v>-0.57951024287081476</v>
      </c>
      <c r="L23" s="7">
        <f>+L16/L4</f>
        <v>-0.43148661407730032</v>
      </c>
      <c r="M23" s="7">
        <f>+M16/M4</f>
        <v>-0.3953954356250895</v>
      </c>
      <c r="N23" s="7">
        <f>+N16/N4</f>
        <v>-0.37598132596388623</v>
      </c>
      <c r="O23" s="7">
        <f>+O16/O4</f>
        <v>-0.34565214113010645</v>
      </c>
      <c r="P23" s="7"/>
      <c r="Q23" s="7"/>
      <c r="R23" s="7"/>
      <c r="S23" s="7">
        <f>+S16/S4</f>
        <v>-1.6428540689417739</v>
      </c>
      <c r="T23" s="7">
        <f>+T16/T4</f>
        <v>-1.258908614167813</v>
      </c>
      <c r="U23" s="7">
        <f>+U16/U4</f>
        <v>-1.3126089482858805</v>
      </c>
      <c r="V23" s="7">
        <f>+V16/V4</f>
        <v>-0.89389808588300246</v>
      </c>
      <c r="W23" s="7">
        <f>+W16/W4</f>
        <v>-0.53594599728891723</v>
      </c>
      <c r="X23" s="7">
        <f>+X16/X4</f>
        <v>-0.22807465454095954</v>
      </c>
      <c r="Y23" s="7">
        <f>+Y16/Y4</f>
        <v>-0.18572965885242693</v>
      </c>
      <c r="Z23" s="7">
        <f>+Z16/Z4</f>
        <v>-0.12535140236686643</v>
      </c>
      <c r="AA23" s="7">
        <f>+AA16/AA4</f>
        <v>-0.10694265675694088</v>
      </c>
      <c r="AB23" s="7">
        <f>+AB16/AB4</f>
        <v>-8.8184089536858121E-2</v>
      </c>
      <c r="AC23" s="7">
        <f>+AC16/AC4</f>
        <v>-7.0576435853633115E-2</v>
      </c>
      <c r="AD23" s="7">
        <f>+AD16/AD4</f>
        <v>-5.2610244875455417E-2</v>
      </c>
      <c r="AE23" s="7">
        <f>+AE16/AE4</f>
        <v>1.7684681885195966E-2</v>
      </c>
      <c r="AF23" s="7">
        <f>+AF16/AF4</f>
        <v>4.7412081997716272E-2</v>
      </c>
      <c r="AG23" s="7">
        <f>+AG16/AG4</f>
        <v>7.5483979379061913E-2</v>
      </c>
      <c r="AH23" s="7">
        <f>+AH16/AH4</f>
        <v>0.10240125520945208</v>
      </c>
      <c r="AI23" s="7">
        <f>+AI16/AI4</f>
        <v>0.12781110561028097</v>
      </c>
      <c r="AJ23" s="7">
        <f>+AJ16/AJ4</f>
        <v>0.15201487079158832</v>
      </c>
      <c r="AK23" s="7">
        <f>+AK16/AK4</f>
        <v>0.17481565756176176</v>
      </c>
      <c r="AL23" s="7">
        <f>+AL16/AL4</f>
        <v>0.19640837714408177</v>
      </c>
      <c r="AM23" s="7"/>
      <c r="AN23" s="16" t="s">
        <v>76</v>
      </c>
      <c r="AO23" s="5">
        <f>+AO21+AO22</f>
        <v>13851.205337816828</v>
      </c>
    </row>
    <row r="24" spans="1:41" s="6" customFormat="1" x14ac:dyDescent="0.2">
      <c r="A24" s="6" t="s">
        <v>43</v>
      </c>
      <c r="B24" s="7">
        <f t="shared" ref="B24:M24" si="63">+B15/B14</f>
        <v>-2.4074193756866797E-3</v>
      </c>
      <c r="C24" s="7">
        <f t="shared" si="63"/>
        <v>-2.6178397645423217E-3</v>
      </c>
      <c r="D24" s="7">
        <f t="shared" si="63"/>
        <v>-3.3903568932943406E-3</v>
      </c>
      <c r="E24" s="7">
        <f t="shared" si="63"/>
        <v>-5.8563504800518053E-3</v>
      </c>
      <c r="F24" s="7">
        <f t="shared" si="63"/>
        <v>-3.6877620104467917E-3</v>
      </c>
      <c r="G24" s="7">
        <f t="shared" si="63"/>
        <v>8.3768244977599271E-2</v>
      </c>
      <c r="H24" s="7">
        <f t="shared" si="63"/>
        <v>-6.1449763023451436E-3</v>
      </c>
      <c r="I24" s="7">
        <f t="shared" si="63"/>
        <v>-2.5383284286170898E-2</v>
      </c>
      <c r="J24" s="7">
        <f t="shared" si="63"/>
        <v>-1.0061736005083024E-2</v>
      </c>
      <c r="K24" s="7">
        <f t="shared" si="63"/>
        <v>-1.7317339661877179E-2</v>
      </c>
      <c r="L24" s="7">
        <f t="shared" si="63"/>
        <v>-1.8944733738024678E-2</v>
      </c>
      <c r="M24" s="7">
        <f t="shared" si="63"/>
        <v>-3.0017498990442877E-2</v>
      </c>
      <c r="N24" s="7">
        <f t="shared" ref="N24:O24" si="64">+N15/N14</f>
        <v>-2.2055605799807445E-2</v>
      </c>
      <c r="O24" s="7">
        <f t="shared" si="64"/>
        <v>-3.3035875247881742E-2</v>
      </c>
      <c r="P24" s="7"/>
      <c r="Q24" s="7"/>
      <c r="R24" s="7"/>
      <c r="S24" s="7">
        <f t="shared" ref="S24" si="65">+S15/S14</f>
        <v>-3.1137913365653696E-3</v>
      </c>
      <c r="T24" s="7">
        <f t="shared" ref="T24:U24" si="66">+T15/T14</f>
        <v>-3.9421025118048826E-3</v>
      </c>
      <c r="U24" s="7">
        <f t="shared" si="66"/>
        <v>-3.7488284910965324E-3</v>
      </c>
      <c r="V24" s="7">
        <f t="shared" ref="V24:W24" si="67">+V15/V14</f>
        <v>1.4655429010073159E-2</v>
      </c>
      <c r="W24" s="7">
        <f t="shared" si="67"/>
        <v>-1.7914911052267869E-2</v>
      </c>
      <c r="X24" s="7">
        <f t="shared" ref="X24:AL24" si="68">+X15/X14</f>
        <v>3.6515082290777323E-2</v>
      </c>
      <c r="Y24" s="7">
        <f t="shared" si="68"/>
        <v>0.21</v>
      </c>
      <c r="Z24" s="7">
        <f t="shared" si="68"/>
        <v>0.21</v>
      </c>
      <c r="AA24" s="7">
        <f t="shared" si="68"/>
        <v>0.21</v>
      </c>
      <c r="AB24" s="7">
        <f t="shared" si="68"/>
        <v>0.21</v>
      </c>
      <c r="AC24" s="7">
        <f t="shared" si="68"/>
        <v>0.21</v>
      </c>
      <c r="AD24" s="7">
        <f t="shared" si="68"/>
        <v>0.21</v>
      </c>
      <c r="AE24" s="7">
        <f t="shared" si="68"/>
        <v>0.21</v>
      </c>
      <c r="AF24" s="7">
        <f t="shared" si="68"/>
        <v>0.21</v>
      </c>
      <c r="AG24" s="7">
        <f t="shared" si="68"/>
        <v>0.20999999999999996</v>
      </c>
      <c r="AH24" s="7">
        <f t="shared" si="68"/>
        <v>0.21</v>
      </c>
      <c r="AI24" s="7">
        <f t="shared" si="68"/>
        <v>0.21</v>
      </c>
      <c r="AJ24" s="7">
        <f t="shared" si="68"/>
        <v>0.21</v>
      </c>
      <c r="AK24" s="7">
        <f t="shared" si="68"/>
        <v>0.21</v>
      </c>
      <c r="AL24" s="7">
        <f t="shared" si="68"/>
        <v>0.21</v>
      </c>
      <c r="AM24" s="7"/>
      <c r="AN24" s="15" t="s">
        <v>78</v>
      </c>
      <c r="AO24" s="8">
        <f>+Main!J3</f>
        <v>28.79</v>
      </c>
    </row>
    <row r="25" spans="1:41" x14ac:dyDescent="0.2">
      <c r="J25" s="5"/>
      <c r="K25" s="5"/>
      <c r="L25" s="5"/>
      <c r="N25" s="5"/>
      <c r="O25" s="5"/>
      <c r="S25" s="5"/>
      <c r="T25" s="5"/>
      <c r="U25" s="5"/>
      <c r="V25" s="5"/>
      <c r="W25" s="5"/>
      <c r="AN25" s="16" t="s">
        <v>77</v>
      </c>
      <c r="AO25" s="8">
        <f>+AO23/Main!J4</f>
        <v>45.962897384618593</v>
      </c>
    </row>
    <row r="26" spans="1:41" s="12" customFormat="1" x14ac:dyDescent="0.2">
      <c r="A26" s="12" t="s">
        <v>44</v>
      </c>
      <c r="B26" s="13"/>
      <c r="C26" s="13"/>
      <c r="D26" s="13"/>
      <c r="E26" s="13"/>
      <c r="F26" s="13">
        <f>+F4/B4-1</f>
        <v>1.0926594464500599</v>
      </c>
      <c r="G26" s="13">
        <f>+G4/C4-1</f>
        <v>1.2405464480874318</v>
      </c>
      <c r="H26" s="13">
        <f>+H4/D4-1</f>
        <v>1.0586775679245957</v>
      </c>
      <c r="I26" s="13">
        <f>+I4/E4-1</f>
        <v>0.92114083734535934</v>
      </c>
      <c r="J26" s="13">
        <f>+J4/F4-1</f>
        <v>0.7045939556577856</v>
      </c>
      <c r="K26" s="13">
        <f>+K4/G4-1</f>
        <v>0.45769474659772702</v>
      </c>
      <c r="L26" s="13">
        <f>+L4/H4-1</f>
        <v>0.42352349487959895</v>
      </c>
      <c r="M26" s="13">
        <f>+M4/I4-1</f>
        <v>0.38128885928181711</v>
      </c>
      <c r="N26" s="13">
        <f>+N4/J4-1</f>
        <v>0.39703732579670592</v>
      </c>
      <c r="O26" s="13">
        <f>+O4/K4-1</f>
        <v>0.33138581591610294</v>
      </c>
      <c r="P26" s="13"/>
      <c r="Q26" s="13"/>
      <c r="R26" s="13"/>
      <c r="S26" s="13"/>
      <c r="T26" s="13">
        <f>+T4/S4-1</f>
        <v>1.0023238800189356</v>
      </c>
      <c r="U26" s="13">
        <f>+U4/T4-1</f>
        <v>1.2008145632737279</v>
      </c>
      <c r="V26" s="13">
        <f>+V4/U4-1</f>
        <v>1.061430964018379</v>
      </c>
      <c r="W26" s="13">
        <f>+W4/V4-1</f>
        <v>0.47130482567820775</v>
      </c>
      <c r="X26" s="13">
        <f>+X4/W4-1</f>
        <v>0.32838877315448345</v>
      </c>
      <c r="Y26" s="13">
        <f>+Y4/X4-1</f>
        <v>0.30000000000000027</v>
      </c>
      <c r="Z26" s="13">
        <f>+Z4/Y4-1</f>
        <v>0.30000000000000004</v>
      </c>
      <c r="AA26" s="13">
        <f>+AA4/Z4-1</f>
        <v>0.30000000000000004</v>
      </c>
      <c r="AB26" s="13">
        <f>+AB4/AA4-1</f>
        <v>0.30000000000000004</v>
      </c>
      <c r="AC26" s="13">
        <f>+AC4/AB4-1</f>
        <v>0.30000000000000004</v>
      </c>
      <c r="AD26" s="13">
        <f>+AD4/AC4-1</f>
        <v>0.30000000000000004</v>
      </c>
      <c r="AE26" s="13">
        <f>+AE4/AD4-1</f>
        <v>0.30000000000000004</v>
      </c>
      <c r="AF26" s="13">
        <f>+AF4/AE4-1</f>
        <v>0.30000000000000004</v>
      </c>
      <c r="AG26" s="13">
        <f>+AG4/AF4-1</f>
        <v>0.30000000000000004</v>
      </c>
      <c r="AH26" s="13">
        <f>+AH4/AG4-1</f>
        <v>0.30000000000000004</v>
      </c>
      <c r="AI26" s="13">
        <f>+AI4/AH4-1</f>
        <v>0.30000000000000004</v>
      </c>
      <c r="AJ26" s="13">
        <f>+AJ4/AI4-1</f>
        <v>0.30000000000000004</v>
      </c>
      <c r="AK26" s="13">
        <f>+AK4/AJ4-1</f>
        <v>0.30000000000000004</v>
      </c>
      <c r="AL26" s="13">
        <f>+AL4/AK4-1</f>
        <v>0.30000000000000004</v>
      </c>
      <c r="AM26" s="13"/>
      <c r="AN26" s="13"/>
      <c r="AO26" s="13">
        <f>+AO25/AO24-1</f>
        <v>0.59648827317188591</v>
      </c>
    </row>
    <row r="28" spans="1:41" x14ac:dyDescent="0.2">
      <c r="A28" t="s">
        <v>56</v>
      </c>
      <c r="F28" s="5">
        <f>766.101+851.418</f>
        <v>1617.519</v>
      </c>
      <c r="G28" s="5">
        <f>269.493+949.883+64.207</f>
        <v>1283.5830000000001</v>
      </c>
      <c r="H28" s="5">
        <f>210.472+490.812+456.722</f>
        <v>1158.0059999999999</v>
      </c>
      <c r="I28" s="5">
        <f>1669.304+0.374</f>
        <v>1669.6780000000001</v>
      </c>
      <c r="J28" s="5">
        <f>150.099+568.128+423.884</f>
        <v>1142.1110000000001</v>
      </c>
      <c r="K28" s="5">
        <f>133.065+598.531+410.307</f>
        <v>1141.903</v>
      </c>
      <c r="L28" s="5">
        <f>127.34+670.632+325.164</f>
        <v>1123.136</v>
      </c>
      <c r="M28" s="5">
        <f>256.651+669.305+204.798</f>
        <v>1130.7539999999999</v>
      </c>
      <c r="N28" s="5">
        <f>198.716+574.488+336.469</f>
        <v>1109.673</v>
      </c>
      <c r="O28" s="5">
        <f>198.716+574.488+336.469</f>
        <v>1109.673</v>
      </c>
      <c r="W28" s="5">
        <f>+M29</f>
        <v>1130.7539999999999</v>
      </c>
      <c r="X28" s="5">
        <f>+W28+X16</f>
        <v>942.56184799999983</v>
      </c>
      <c r="Y28" s="5">
        <f>+X28+Y16</f>
        <v>743.33443477419985</v>
      </c>
      <c r="Z28" s="5">
        <f t="shared" ref="Z28:AL28" si="69">+Y28+Z16</f>
        <v>568.5348549456163</v>
      </c>
      <c r="AA28" s="5">
        <f t="shared" si="69"/>
        <v>374.66713230297808</v>
      </c>
      <c r="AB28" s="5">
        <f t="shared" si="69"/>
        <v>166.84675576337719</v>
      </c>
      <c r="AC28" s="5">
        <f t="shared" si="69"/>
        <v>-49.375785244238187</v>
      </c>
      <c r="AD28" s="5">
        <f t="shared" si="69"/>
        <v>-258.90998600316948</v>
      </c>
      <c r="AE28" s="5">
        <f t="shared" si="69"/>
        <v>-167.34589233203289</v>
      </c>
      <c r="AF28" s="5">
        <f t="shared" si="69"/>
        <v>151.77874044191506</v>
      </c>
      <c r="AG28" s="5">
        <f t="shared" si="69"/>
        <v>812.27359829408874</v>
      </c>
      <c r="AH28" s="5">
        <f t="shared" si="69"/>
        <v>1977.1055795671366</v>
      </c>
      <c r="AI28" s="5">
        <f t="shared" si="69"/>
        <v>3867.1410287798171</v>
      </c>
      <c r="AJ28" s="5">
        <f t="shared" si="69"/>
        <v>6789.4813152612978</v>
      </c>
      <c r="AK28" s="5">
        <f t="shared" si="69"/>
        <v>11158.343959963706</v>
      </c>
      <c r="AL28" s="5">
        <f t="shared" si="69"/>
        <v>17539.383302625087</v>
      </c>
    </row>
    <row r="29" spans="1:41" x14ac:dyDescent="0.2">
      <c r="A29" t="s">
        <v>6</v>
      </c>
      <c r="F29" s="5">
        <f>766.101+851.418</f>
        <v>1617.519</v>
      </c>
      <c r="G29" s="5">
        <f>269.493+949.883+64.207</f>
        <v>1283.5830000000001</v>
      </c>
      <c r="H29" s="5">
        <f>210.472+490.812+456.722</f>
        <v>1158.0059999999999</v>
      </c>
      <c r="I29" s="5">
        <f>1669.304+0.374</f>
        <v>1669.6780000000001</v>
      </c>
      <c r="J29" s="5">
        <f>150.099+568.128+423.884</f>
        <v>1142.1110000000001</v>
      </c>
      <c r="K29" s="5">
        <f>133.065+598.531+410.307</f>
        <v>1141.903</v>
      </c>
      <c r="L29" s="5">
        <f>127.34+670.632+325.164</f>
        <v>1123.136</v>
      </c>
      <c r="M29" s="5">
        <f>256.651+669.305+204.798</f>
        <v>1130.7539999999999</v>
      </c>
      <c r="N29" s="5">
        <f>198.716+574.488+336.469</f>
        <v>1109.673</v>
      </c>
      <c r="O29" s="5">
        <f>205.898+502.274+417.161</f>
        <v>1125.3330000000001</v>
      </c>
      <c r="P29" s="5"/>
      <c r="Q29" s="5"/>
    </row>
    <row r="30" spans="1:41" x14ac:dyDescent="0.2">
      <c r="A30" t="s">
        <v>45</v>
      </c>
      <c r="F30" s="5">
        <v>86.870999999999995</v>
      </c>
      <c r="G30" s="5">
        <v>106.38</v>
      </c>
      <c r="H30" s="5">
        <v>119.36499999999999</v>
      </c>
      <c r="I30" s="5">
        <v>101.491</v>
      </c>
      <c r="J30" s="5">
        <v>128.21600000000001</v>
      </c>
      <c r="K30" s="5">
        <v>124.52500000000001</v>
      </c>
      <c r="L30" s="5">
        <v>133.828</v>
      </c>
      <c r="M30" s="5">
        <v>214.322</v>
      </c>
      <c r="N30" s="5">
        <v>133.773</v>
      </c>
      <c r="O30" s="5">
        <v>155.148</v>
      </c>
    </row>
    <row r="31" spans="1:41" x14ac:dyDescent="0.2">
      <c r="A31" t="s">
        <v>46</v>
      </c>
      <c r="F31" s="5">
        <f>26.261+43.679</f>
        <v>69.94</v>
      </c>
      <c r="G31" s="5">
        <f>30.894+44.429</f>
        <v>75.323000000000008</v>
      </c>
      <c r="H31" s="5">
        <f>33.666+47.194</f>
        <v>80.86</v>
      </c>
      <c r="I31" s="5">
        <f>27.546+41.022</f>
        <v>68.567999999999998</v>
      </c>
      <c r="J31" s="5">
        <f>39.428+55.364</f>
        <v>94.792000000000002</v>
      </c>
      <c r="K31" s="5">
        <f>42.825+58.624</f>
        <v>101.44900000000001</v>
      </c>
      <c r="L31" s="5">
        <f>45.853+60.178</f>
        <v>106.03100000000001</v>
      </c>
      <c r="M31" s="5">
        <f>54.158+71.64</f>
        <v>125.798</v>
      </c>
      <c r="N31" s="5">
        <f>55.385+70.335</f>
        <v>125.72</v>
      </c>
      <c r="O31" s="5">
        <f>57.355+72.091</f>
        <v>129.446</v>
      </c>
    </row>
    <row r="32" spans="1:41" x14ac:dyDescent="0.2">
      <c r="A32" t="s">
        <v>47</v>
      </c>
      <c r="F32" s="5">
        <v>24.849</v>
      </c>
      <c r="G32" s="5">
        <v>33.347999999999999</v>
      </c>
      <c r="H32" s="5">
        <f>98.186</f>
        <v>98.186000000000007</v>
      </c>
      <c r="I32" s="5">
        <v>18.939</v>
      </c>
      <c r="J32" s="5">
        <v>99.662000000000006</v>
      </c>
      <c r="K32" s="5">
        <v>95.814999999999998</v>
      </c>
      <c r="L32" s="5">
        <v>91.77</v>
      </c>
      <c r="M32" s="5">
        <v>102.895</v>
      </c>
      <c r="N32" s="5">
        <v>103.577</v>
      </c>
      <c r="O32" s="5">
        <v>100.301</v>
      </c>
    </row>
    <row r="33" spans="1:39" x14ac:dyDescent="0.2">
      <c r="A33" t="s">
        <v>48</v>
      </c>
      <c r="F33" s="5">
        <v>29.082999999999998</v>
      </c>
      <c r="G33" s="5">
        <v>33.030999999999999</v>
      </c>
      <c r="H33" s="5">
        <v>36.377000000000002</v>
      </c>
      <c r="I33" s="5">
        <v>24.917999999999999</v>
      </c>
      <c r="J33" s="5">
        <v>41.026000000000003</v>
      </c>
      <c r="K33" s="5">
        <v>43.878</v>
      </c>
      <c r="L33" s="5">
        <v>46.015000000000001</v>
      </c>
      <c r="M33" s="5">
        <v>48.817</v>
      </c>
      <c r="N33" s="5">
        <v>57.052</v>
      </c>
      <c r="O33" s="5">
        <v>64.257000000000005</v>
      </c>
    </row>
    <row r="34" spans="1:39" x14ac:dyDescent="0.2">
      <c r="A34" t="s">
        <v>49</v>
      </c>
      <c r="F34" s="5">
        <v>25.731000000000002</v>
      </c>
      <c r="G34" s="5">
        <v>25.27</v>
      </c>
      <c r="H34" s="5">
        <v>24.266999999999999</v>
      </c>
      <c r="I34" s="5">
        <v>23.884</v>
      </c>
      <c r="J34" s="5">
        <v>23.045000000000002</v>
      </c>
      <c r="K34" s="5">
        <v>22.015000000000001</v>
      </c>
      <c r="L34" s="5">
        <v>20.969000000000001</v>
      </c>
      <c r="M34" s="5">
        <v>18.474</v>
      </c>
      <c r="N34" s="5">
        <v>17.515999999999998</v>
      </c>
      <c r="O34" s="5">
        <v>16.535</v>
      </c>
    </row>
    <row r="35" spans="1:39" x14ac:dyDescent="0.2">
      <c r="A35" t="s">
        <v>50</v>
      </c>
      <c r="F35" s="5">
        <f>108.193+15.13</f>
        <v>123.32299999999999</v>
      </c>
      <c r="G35" s="5">
        <f>159.677+540.308</f>
        <v>699.98500000000001</v>
      </c>
      <c r="H35" s="5">
        <f>152.334+540.308</f>
        <v>692.64200000000005</v>
      </c>
      <c r="I35" s="5">
        <f>15.807+108.193</f>
        <v>124</v>
      </c>
      <c r="J35" s="5">
        <f>138.284+540.308</f>
        <v>678.59199999999998</v>
      </c>
      <c r="K35" s="5">
        <f>131.127+540.308</f>
        <v>671.43499999999995</v>
      </c>
      <c r="L35" s="5">
        <f>127.151+540.308</f>
        <v>667.45899999999995</v>
      </c>
      <c r="M35" s="5">
        <f>122.903+549.411</f>
        <v>672.31399999999996</v>
      </c>
      <c r="N35" s="5">
        <f>126.842+629.636</f>
        <v>756.47799999999995</v>
      </c>
      <c r="O35" s="5">
        <f>120.307+629.636</f>
        <v>749.94299999999998</v>
      </c>
    </row>
    <row r="36" spans="1:39" x14ac:dyDescent="0.2">
      <c r="A36" t="s">
        <v>35</v>
      </c>
      <c r="F36" s="5">
        <v>11.132</v>
      </c>
      <c r="G36" s="5">
        <v>8.1739999999999995</v>
      </c>
      <c r="H36" s="5">
        <v>4.9779999999999998</v>
      </c>
      <c r="I36" s="5">
        <v>10.702999999999999</v>
      </c>
      <c r="J36" s="5">
        <v>5.3410000000000002</v>
      </c>
      <c r="K36" s="5">
        <v>6.1769999999999996</v>
      </c>
      <c r="L36" s="5">
        <v>6.6589999999999998</v>
      </c>
      <c r="M36" s="5">
        <v>8.0329999999999995</v>
      </c>
      <c r="N36" s="5">
        <v>5.9409999999999998</v>
      </c>
      <c r="O36" s="5">
        <v>5.8559999999999999</v>
      </c>
    </row>
    <row r="37" spans="1:39" s="9" customFormat="1" x14ac:dyDescent="0.2">
      <c r="A37" s="9" t="s">
        <v>55</v>
      </c>
      <c r="B37" s="10"/>
      <c r="C37" s="10"/>
      <c r="D37" s="10"/>
      <c r="E37" s="10"/>
      <c r="F37" s="11">
        <f t="shared" ref="F37:M37" si="70">SUM(F29:F36)</f>
        <v>1988.4480000000003</v>
      </c>
      <c r="G37" s="11">
        <f t="shared" si="70"/>
        <v>2265.0940000000001</v>
      </c>
      <c r="H37" s="11">
        <f t="shared" si="70"/>
        <v>2214.6809999999996</v>
      </c>
      <c r="I37" s="11">
        <f t="shared" si="70"/>
        <v>2042.181</v>
      </c>
      <c r="J37" s="11">
        <f t="shared" si="70"/>
        <v>2212.7850000000003</v>
      </c>
      <c r="K37" s="11">
        <f t="shared" si="70"/>
        <v>2207.1970000000006</v>
      </c>
      <c r="L37" s="11">
        <f t="shared" si="70"/>
        <v>2195.8670000000002</v>
      </c>
      <c r="M37" s="11">
        <f t="shared" si="70"/>
        <v>2321.4069999999997</v>
      </c>
      <c r="N37" s="11">
        <f t="shared" ref="N37:O37" si="71">SUM(N29:N36)</f>
        <v>2309.7299999999996</v>
      </c>
      <c r="O37" s="11">
        <f t="shared" si="71"/>
        <v>2346.819</v>
      </c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</row>
    <row r="38" spans="1:39" x14ac:dyDescent="0.2">
      <c r="A38" t="s">
        <v>51</v>
      </c>
      <c r="F38" s="5">
        <v>13.925000000000001</v>
      </c>
      <c r="G38" s="5">
        <v>14.468999999999999</v>
      </c>
      <c r="H38" s="5">
        <v>6.5919999999999996</v>
      </c>
      <c r="I38" s="5">
        <v>9.9440000000000008</v>
      </c>
      <c r="J38" s="5">
        <v>13.215</v>
      </c>
      <c r="K38" s="5">
        <v>13.84</v>
      </c>
      <c r="L38" s="5">
        <v>13.792999999999999</v>
      </c>
      <c r="M38" s="5">
        <v>6.7590000000000003</v>
      </c>
      <c r="N38" s="5">
        <v>9.202</v>
      </c>
      <c r="O38" s="5">
        <v>6.7460000000000004</v>
      </c>
    </row>
    <row r="39" spans="1:39" x14ac:dyDescent="0.2">
      <c r="A39" t="s">
        <v>52</v>
      </c>
      <c r="F39" s="5">
        <v>23.82</v>
      </c>
      <c r="G39" s="5">
        <v>31.913</v>
      </c>
      <c r="H39" s="5">
        <v>95.283000000000001</v>
      </c>
      <c r="I39" s="5">
        <v>22.657</v>
      </c>
      <c r="J39" s="5">
        <v>101.408</v>
      </c>
      <c r="K39" s="5">
        <v>104.483</v>
      </c>
      <c r="L39" s="5">
        <v>99.867000000000004</v>
      </c>
      <c r="M39" s="5">
        <v>104.67100000000001</v>
      </c>
      <c r="N39" s="5">
        <v>105.48099999999999</v>
      </c>
      <c r="O39" s="5">
        <v>113.315</v>
      </c>
    </row>
    <row r="40" spans="1:39" x14ac:dyDescent="0.2">
      <c r="A40" t="s">
        <v>83</v>
      </c>
      <c r="F40" s="5">
        <v>39.654000000000003</v>
      </c>
      <c r="G40" s="5">
        <v>38.576000000000001</v>
      </c>
      <c r="H40" s="5">
        <v>43.459000000000003</v>
      </c>
      <c r="I40" s="5">
        <v>61.15</v>
      </c>
      <c r="J40" s="5">
        <v>43.99</v>
      </c>
      <c r="K40" s="5">
        <v>50.393000000000001</v>
      </c>
      <c r="L40" s="5">
        <v>52.777000000000001</v>
      </c>
      <c r="M40" s="5">
        <v>75.344999999999999</v>
      </c>
      <c r="N40" s="5">
        <v>55.429000000000002</v>
      </c>
      <c r="O40" s="5">
        <v>63.680999999999997</v>
      </c>
    </row>
    <row r="41" spans="1:39" x14ac:dyDescent="0.2">
      <c r="A41" t="s">
        <v>49</v>
      </c>
      <c r="F41" s="5">
        <f>2.925+27.199</f>
        <v>30.124000000000002</v>
      </c>
      <c r="G41" s="5">
        <f>4.004+25.261</f>
        <v>29.265000000000001</v>
      </c>
      <c r="H41" s="5">
        <f>4+23.706</f>
        <v>27.706</v>
      </c>
      <c r="I41" s="5">
        <f>4.613+24.467</f>
        <v>29.08</v>
      </c>
      <c r="J41" s="5">
        <f>4.508+21.972</f>
        <v>26.48</v>
      </c>
      <c r="K41" s="5">
        <f>4.637+20.519</f>
        <v>25.155999999999999</v>
      </c>
      <c r="L41" s="5">
        <f>4.448+18.492</f>
        <v>22.94</v>
      </c>
      <c r="M41" s="5">
        <f>4.689+18.239</f>
        <v>22.928000000000001</v>
      </c>
      <c r="N41" s="5">
        <f>4.682+16.764</f>
        <v>21.445999999999998</v>
      </c>
      <c r="O41" s="5">
        <f>4.63+15.497</f>
        <v>20.126999999999999</v>
      </c>
    </row>
    <row r="42" spans="1:39" x14ac:dyDescent="0.2">
      <c r="A42" t="s">
        <v>82</v>
      </c>
      <c r="F42" s="5">
        <f>196.385+79.259</f>
        <v>275.64400000000001</v>
      </c>
      <c r="G42" s="5">
        <f>244.207+100.844</f>
        <v>345.05099999999999</v>
      </c>
      <c r="H42" s="5">
        <f>255.501+98.873</f>
        <v>354.37400000000002</v>
      </c>
      <c r="I42" s="5">
        <f>182.957+79.062</f>
        <v>262.01900000000001</v>
      </c>
      <c r="J42" s="5">
        <f>309.806+98.692</f>
        <v>408.49799999999999</v>
      </c>
      <c r="K42" s="5">
        <f>325.019+96.343</f>
        <v>421.36200000000002</v>
      </c>
      <c r="L42" s="5">
        <f>327.941+94.631</f>
        <v>422.572</v>
      </c>
      <c r="M42" s="5">
        <f>399.603+114.93</f>
        <v>514.53300000000002</v>
      </c>
      <c r="N42" s="5">
        <f>391.254+101.843</f>
        <v>493.09700000000004</v>
      </c>
      <c r="O42" s="5">
        <f>399.536+103.086</f>
        <v>502.62200000000001</v>
      </c>
    </row>
    <row r="43" spans="1:39" x14ac:dyDescent="0.2">
      <c r="A43" t="s">
        <v>35</v>
      </c>
      <c r="F43" s="5">
        <v>8.0389999999999997</v>
      </c>
      <c r="G43" s="5">
        <v>66.004000000000005</v>
      </c>
      <c r="H43" s="5">
        <v>5.08</v>
      </c>
      <c r="I43" s="5">
        <v>6.5430000000000001</v>
      </c>
      <c r="J43" s="5">
        <v>2.02</v>
      </c>
      <c r="K43" s="5">
        <v>2.6440000000000001</v>
      </c>
      <c r="L43" s="5">
        <v>3.089</v>
      </c>
      <c r="M43" s="5">
        <v>4.1280000000000001</v>
      </c>
      <c r="N43" s="5">
        <v>9.4550000000000001</v>
      </c>
      <c r="O43" s="5">
        <v>6.9409999999999998</v>
      </c>
    </row>
    <row r="44" spans="1:39" s="9" customFormat="1" x14ac:dyDescent="0.2">
      <c r="A44" s="9" t="s">
        <v>57</v>
      </c>
      <c r="B44" s="10"/>
      <c r="C44" s="10"/>
      <c r="D44" s="10"/>
      <c r="E44" s="10"/>
      <c r="F44" s="11">
        <f t="shared" ref="F44:M44" si="72">SUM(F38:F43)</f>
        <v>391.20600000000002</v>
      </c>
      <c r="G44" s="11">
        <f t="shared" si="72"/>
        <v>525.27800000000002</v>
      </c>
      <c r="H44" s="11">
        <f t="shared" si="72"/>
        <v>532.49400000000003</v>
      </c>
      <c r="I44" s="11">
        <f t="shared" si="72"/>
        <v>391.39300000000003</v>
      </c>
      <c r="J44" s="11">
        <f t="shared" si="72"/>
        <v>595.61099999999999</v>
      </c>
      <c r="K44" s="11">
        <f t="shared" si="72"/>
        <v>617.87800000000004</v>
      </c>
      <c r="L44" s="11">
        <f t="shared" si="72"/>
        <v>615.03800000000012</v>
      </c>
      <c r="M44" s="11">
        <f t="shared" si="72"/>
        <v>728.36400000000003</v>
      </c>
      <c r="N44" s="11">
        <f t="shared" ref="N44:O44" si="73">SUM(N38:N43)</f>
        <v>694.11</v>
      </c>
      <c r="O44" s="11">
        <f t="shared" si="73"/>
        <v>713.43200000000002</v>
      </c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</row>
    <row r="45" spans="1:39" x14ac:dyDescent="0.2">
      <c r="A45" t="s">
        <v>53</v>
      </c>
      <c r="F45" s="5">
        <f t="shared" ref="F45:M45" si="74">+F37-F44</f>
        <v>1597.2420000000002</v>
      </c>
      <c r="G45" s="5">
        <f t="shared" si="74"/>
        <v>1739.816</v>
      </c>
      <c r="H45" s="5">
        <f t="shared" si="74"/>
        <v>1682.1869999999994</v>
      </c>
      <c r="I45" s="5">
        <f t="shared" si="74"/>
        <v>1650.788</v>
      </c>
      <c r="J45" s="5">
        <f t="shared" si="74"/>
        <v>1617.1740000000004</v>
      </c>
      <c r="K45" s="5">
        <f t="shared" si="74"/>
        <v>1589.3190000000004</v>
      </c>
      <c r="L45" s="5">
        <f t="shared" si="74"/>
        <v>1580.8290000000002</v>
      </c>
      <c r="M45" s="5">
        <f t="shared" si="74"/>
        <v>1593.0429999999997</v>
      </c>
      <c r="N45" s="5">
        <v>1615.62</v>
      </c>
      <c r="O45" s="5">
        <v>1633.6869999999999</v>
      </c>
    </row>
    <row r="46" spans="1:39" x14ac:dyDescent="0.2">
      <c r="A46" t="s">
        <v>54</v>
      </c>
      <c r="F46" s="5">
        <f t="shared" ref="F46:L46" si="75">+F44+F45</f>
        <v>1988.4480000000003</v>
      </c>
      <c r="G46" s="5">
        <f t="shared" si="75"/>
        <v>2265.0940000000001</v>
      </c>
      <c r="H46" s="5">
        <f t="shared" si="75"/>
        <v>2214.6809999999996</v>
      </c>
      <c r="I46" s="5">
        <f t="shared" si="75"/>
        <v>2042.181</v>
      </c>
      <c r="J46" s="5">
        <f t="shared" si="75"/>
        <v>2212.7850000000003</v>
      </c>
      <c r="K46" s="5">
        <f t="shared" si="75"/>
        <v>2207.1970000000006</v>
      </c>
      <c r="L46" s="5">
        <f t="shared" si="75"/>
        <v>2195.8670000000002</v>
      </c>
      <c r="M46" s="5">
        <f>+M45+M44</f>
        <v>2321.4069999999997</v>
      </c>
      <c r="N46" s="5">
        <f>+N45+N44</f>
        <v>2309.73</v>
      </c>
      <c r="O46" s="5">
        <f>+O45+O44</f>
        <v>2347.1189999999997</v>
      </c>
    </row>
    <row r="47" spans="1:39" x14ac:dyDescent="0.2">
      <c r="F47" s="5"/>
      <c r="G47" s="5"/>
      <c r="H47" s="5"/>
      <c r="I47" s="5"/>
      <c r="J47" s="5"/>
      <c r="K47" s="5"/>
      <c r="L47" s="5"/>
      <c r="N47" s="5"/>
      <c r="O47" s="5"/>
    </row>
    <row r="48" spans="1:39" x14ac:dyDescent="0.2">
      <c r="A48" t="s">
        <v>80</v>
      </c>
      <c r="E48" s="5"/>
      <c r="F48" s="5">
        <f t="shared" ref="F48:M48" si="76">+SUM(C16:F16)</f>
        <v>-306.32299999999998</v>
      </c>
      <c r="G48" s="5">
        <f t="shared" si="76"/>
        <v>-335.26600000000002</v>
      </c>
      <c r="H48" s="5">
        <f t="shared" si="76"/>
        <v>-355.803</v>
      </c>
      <c r="I48" s="5">
        <f t="shared" si="76"/>
        <v>-377.38499999999999</v>
      </c>
      <c r="J48" s="5">
        <f t="shared" si="76"/>
        <v>-394.35200000000009</v>
      </c>
      <c r="K48" s="5">
        <f t="shared" si="76"/>
        <v>-384.21000000000004</v>
      </c>
      <c r="L48" s="5">
        <f t="shared" si="76"/>
        <v>-356.96800000000007</v>
      </c>
      <c r="M48" s="5">
        <f t="shared" si="76"/>
        <v>-332.80399999999997</v>
      </c>
      <c r="N48" s="5">
        <f>+SUM(K16:N16)</f>
        <v>-296.36</v>
      </c>
      <c r="O48" s="5">
        <f>+SUM(L16:O16)</f>
        <v>-278.53199999999998</v>
      </c>
    </row>
    <row r="50" spans="1:39" x14ac:dyDescent="0.2">
      <c r="A50" t="s">
        <v>58</v>
      </c>
      <c r="F50" s="5">
        <f t="shared" ref="F50:O50" si="77">+F16</f>
        <v>-89.542999999999978</v>
      </c>
      <c r="G50" s="5">
        <f t="shared" si="77"/>
        <v>-96.733000000000018</v>
      </c>
      <c r="H50" s="5">
        <f t="shared" si="77"/>
        <v>-98.077000000000012</v>
      </c>
      <c r="I50" s="5">
        <f t="shared" si="77"/>
        <v>-93.032000000000011</v>
      </c>
      <c r="J50" s="5">
        <f t="shared" si="77"/>
        <v>-106.51000000000002</v>
      </c>
      <c r="K50" s="5">
        <f t="shared" si="77"/>
        <v>-86.591000000000008</v>
      </c>
      <c r="L50" s="5">
        <f t="shared" si="77"/>
        <v>-70.835000000000008</v>
      </c>
      <c r="M50" s="5">
        <f t="shared" si="77"/>
        <v>-68.867999999999967</v>
      </c>
      <c r="N50" s="5">
        <f t="shared" si="77"/>
        <v>-70.066000000000017</v>
      </c>
      <c r="O50" s="5">
        <f t="shared" si="77"/>
        <v>-68.762999999999991</v>
      </c>
    </row>
    <row r="51" spans="1:39" x14ac:dyDescent="0.2">
      <c r="A51" t="s">
        <v>59</v>
      </c>
      <c r="F51" s="5">
        <v>-89.834000000000003</v>
      </c>
      <c r="G51" s="5">
        <f>+-186.14-SUM(F51)</f>
        <v>-96.305999999999983</v>
      </c>
      <c r="H51" s="5">
        <f>-284.998-SUM(F51:G51)</f>
        <v>-98.858000000000004</v>
      </c>
      <c r="I51" s="5">
        <f>-378.678-SUM(F51:H51)</f>
        <v>-93.68</v>
      </c>
      <c r="J51" s="5">
        <v>-106.869</v>
      </c>
      <c r="K51" s="5">
        <f>+-196.407-SUM(J51)</f>
        <v>-89.538000000000011</v>
      </c>
      <c r="L51" s="5">
        <f>-266.711-SUM(J51:K51)</f>
        <v>-70.304000000000002</v>
      </c>
      <c r="M51" s="5">
        <f>-338.693-SUM(J51:L51)</f>
        <v>-71.981999999999971</v>
      </c>
      <c r="N51" s="5">
        <v>-70.105000000000004</v>
      </c>
      <c r="O51" s="5">
        <f>-139.289-N51</f>
        <v>-69.183999999999983</v>
      </c>
    </row>
    <row r="52" spans="1:39" x14ac:dyDescent="0.2">
      <c r="A52" t="s">
        <v>60</v>
      </c>
      <c r="F52" s="5">
        <f>2.102+7.975</f>
        <v>10.077</v>
      </c>
      <c r="G52" s="5">
        <f>10.794+32.532-SUM(F52)</f>
        <v>33.248999999999995</v>
      </c>
      <c r="H52" s="5">
        <f>20.097+25.871-SUM(F52:G52)</f>
        <v>2.6420000000000101</v>
      </c>
      <c r="I52" s="5">
        <f>29.721+36.417-SUM(F52:H52)</f>
        <v>20.170000000000002</v>
      </c>
      <c r="J52" s="5">
        <f>9.115+10.74</f>
        <v>19.855</v>
      </c>
      <c r="K52" s="5">
        <f>18.623+22.263-SUM(J52)</f>
        <v>21.031000000000002</v>
      </c>
      <c r="L52" s="5">
        <f>28.549+34.699-SUM(J52:K52)</f>
        <v>22.361999999999995</v>
      </c>
      <c r="M52" s="5">
        <f>38.912+48.682-SUM(J52:L52)</f>
        <v>24.345999999999997</v>
      </c>
      <c r="N52" s="5">
        <f>10.691+15.284</f>
        <v>25.975000000000001</v>
      </c>
      <c r="O52" s="5">
        <f>21.11+31.252-N52</f>
        <v>26.386999999999993</v>
      </c>
    </row>
    <row r="53" spans="1:39" x14ac:dyDescent="0.2">
      <c r="A53" t="s">
        <v>49</v>
      </c>
      <c r="F53" s="5">
        <v>0.68200000000000005</v>
      </c>
      <c r="G53" s="5">
        <f>1.609-SUM(F53)</f>
        <v>0.92699999999999994</v>
      </c>
      <c r="H53" s="5">
        <f>2.547-SUM(F53:G53)</f>
        <v>0.93800000000000017</v>
      </c>
      <c r="I53" s="5">
        <f>3.559-SUM(F53:H53)</f>
        <v>1.012</v>
      </c>
      <c r="J53" s="5">
        <v>0.94299999999999995</v>
      </c>
      <c r="K53" s="5">
        <f>1.973-SUM(J53)</f>
        <v>1.0300000000000002</v>
      </c>
      <c r="L53" s="5">
        <f>3.01-SUM(J53:K53)</f>
        <v>1.0369999999999995</v>
      </c>
      <c r="M53" s="5">
        <f>4.02-SUM(J53:L53)</f>
        <v>1.0099999999999998</v>
      </c>
      <c r="N53" s="5">
        <v>0.95699999999999996</v>
      </c>
      <c r="O53" s="5">
        <f>1.939-N53</f>
        <v>0.9820000000000001</v>
      </c>
    </row>
    <row r="54" spans="1:39" x14ac:dyDescent="0.2">
      <c r="A54" t="s">
        <v>61</v>
      </c>
      <c r="F54" s="5">
        <v>31.63</v>
      </c>
      <c r="G54" s="5">
        <f>72.631-SUM(F54)</f>
        <v>41.001000000000005</v>
      </c>
      <c r="H54" s="5">
        <f>118.318-SUM(F54:G54)</f>
        <v>45.686999999999998</v>
      </c>
      <c r="I54" s="5">
        <f>164.466-SUM(F54:H54)</f>
        <v>46.14800000000001</v>
      </c>
      <c r="J54" s="5">
        <v>55.548999999999999</v>
      </c>
      <c r="K54" s="5">
        <f>108.395-SUM(J54)</f>
        <v>52.845999999999997</v>
      </c>
      <c r="L54" s="5">
        <f>163.308-SUM(J54:K54)</f>
        <v>54.912999999999997</v>
      </c>
      <c r="M54" s="5">
        <f>216.87-SUM(J54:L54)</f>
        <v>53.562000000000012</v>
      </c>
      <c r="N54" s="5">
        <v>58.552999999999997</v>
      </c>
      <c r="O54" s="5">
        <f>123.23-N54</f>
        <v>64.677000000000007</v>
      </c>
    </row>
    <row r="55" spans="1:39" x14ac:dyDescent="0.2">
      <c r="A55" t="s">
        <v>62</v>
      </c>
      <c r="F55" s="5">
        <v>0</v>
      </c>
      <c r="G55" s="5">
        <v>0</v>
      </c>
      <c r="H55" s="5">
        <v>0</v>
      </c>
      <c r="I55" s="5">
        <f ca="1">-12.217-SUM(F55:I55)</f>
        <v>0</v>
      </c>
      <c r="J55" s="5">
        <v>-5.1669999999999998</v>
      </c>
      <c r="K55" s="5">
        <f>-11.089-2-SUM(J55)</f>
        <v>-7.9220000000000006</v>
      </c>
      <c r="L55" s="5">
        <f>+-16.289-2.706-SUM(J55:K55)</f>
        <v>-5.9060000000000006</v>
      </c>
      <c r="M55" s="5">
        <f>+-19.943-2.703-SUM(J55:L55)</f>
        <v>-3.6509999999999998</v>
      </c>
      <c r="N55" s="5">
        <v>-3.6280000000000001</v>
      </c>
      <c r="O55" s="5">
        <f>-7.42-N55</f>
        <v>-3.7919999999999998</v>
      </c>
    </row>
    <row r="56" spans="1:39" x14ac:dyDescent="0.2">
      <c r="A56" t="s">
        <v>35</v>
      </c>
      <c r="F56" s="5">
        <v>0.28799999999999998</v>
      </c>
      <c r="G56" s="5">
        <f>-1.619-SUM(F56)</f>
        <v>-1.907</v>
      </c>
      <c r="H56" s="5">
        <f>+-6.066-SUM(F56:G56)</f>
        <v>-4.4470000000000001</v>
      </c>
      <c r="I56" s="5">
        <f>+-1.187-SUM(F56:H56)</f>
        <v>4.8789999999999996</v>
      </c>
      <c r="J56" s="5">
        <v>0.93899999999999995</v>
      </c>
      <c r="K56" s="5">
        <f>0.775-SUM(J56)</f>
        <v>-0.16399999999999992</v>
      </c>
      <c r="L56" s="5">
        <f>0.637-SUM(J56:K56)</f>
        <v>-0.13800000000000001</v>
      </c>
      <c r="M56" s="5">
        <f>4.637-SUM(J56:L56)</f>
        <v>3.9999999999999996</v>
      </c>
      <c r="N56" s="5">
        <v>1.5509999999999999</v>
      </c>
      <c r="O56" s="5">
        <f>1.887-N56</f>
        <v>0.33600000000000008</v>
      </c>
    </row>
    <row r="57" spans="1:39" x14ac:dyDescent="0.2">
      <c r="A57" t="s">
        <v>63</v>
      </c>
      <c r="F57" s="5">
        <f>14.779-5.208-9.347+5.079+0.19-21.478-1.33+13.626+1.495</f>
        <v>-2.1940000000000017</v>
      </c>
      <c r="G57" s="5">
        <f>0.48-9.151-39.287+6.094+4.148-23.669-2.737+31.285-8.447-SUM(F57)</f>
        <v>-39.089999999999989</v>
      </c>
      <c r="H57" s="5">
        <f>+-12.699-11.072-38.163-1.377+0.261-18.786-4.296+40.609-1.464-SUM(F57:G57)</f>
        <v>-5.7030000000000101</v>
      </c>
      <c r="I57" s="5">
        <f>+-44.442-14.499-61.289+3.67+4.976-7.205-6.32+92.496-3.755-SUM(F57:H57)</f>
        <v>10.618999999999986</v>
      </c>
      <c r="J57" s="5">
        <f>23.583+3.237-12.091+1.127+1.392-10.917-1.11+2.237-0.767</f>
        <v>6.6910000000000007</v>
      </c>
      <c r="K57" s="5">
        <f>27.926+6.291-30.272+1.044+4.386-4.393-2.434+15.101-0.144-SUM(J57)</f>
        <v>10.814000000000002</v>
      </c>
      <c r="L57" s="5">
        <f>18.846+10.075-47.289+1.935-0.22-1.998-4.65+16.311+0.31-SUM(J57:K57)</f>
        <v>-24.185000000000006</v>
      </c>
      <c r="M57" s="5">
        <f>-61.949-1.207-81.039-4.499+4.271+19.14-4.41+108.197+1.34-SUM(J57:L57)</f>
        <v>-13.476000000000006</v>
      </c>
      <c r="N57" s="5">
        <f>80.911+3.904-15.207+2.368-2.515-18.897-1.481-22.108+1.725</f>
        <v>28.7</v>
      </c>
      <c r="O57" s="5">
        <f>59.258+8.942-34.901+0.01+5.447-10.645-2.8-12.583-0.789-N57</f>
        <v>-16.760999999999999</v>
      </c>
    </row>
    <row r="58" spans="1:39" s="9" customFormat="1" x14ac:dyDescent="0.2">
      <c r="A58" s="9" t="s">
        <v>64</v>
      </c>
      <c r="B58" s="10"/>
      <c r="C58" s="10"/>
      <c r="D58" s="10"/>
      <c r="E58" s="10"/>
      <c r="F58" s="11">
        <f t="shared" ref="F58:M58" si="78">+SUM(F51:F57)</f>
        <v>-49.351000000000013</v>
      </c>
      <c r="G58" s="11">
        <f t="shared" si="78"/>
        <v>-62.125999999999976</v>
      </c>
      <c r="H58" s="11">
        <f t="shared" si="78"/>
        <v>-59.741000000000007</v>
      </c>
      <c r="I58" s="11">
        <f t="shared" ca="1" si="78"/>
        <v>-28.255999999999997</v>
      </c>
      <c r="J58" s="11">
        <f t="shared" si="78"/>
        <v>-28.058999999999997</v>
      </c>
      <c r="K58" s="11">
        <f t="shared" si="78"/>
        <v>-11.903000000000008</v>
      </c>
      <c r="L58" s="11">
        <f t="shared" si="78"/>
        <v>-22.221000000000018</v>
      </c>
      <c r="M58" s="11">
        <f t="shared" si="78"/>
        <v>-6.1909999999999705</v>
      </c>
      <c r="N58" s="11">
        <f t="shared" ref="N58" si="79">+SUM(N51:N57)</f>
        <v>42.002999999999993</v>
      </c>
      <c r="O58" s="11">
        <f>+SUM(O51:O57)</f>
        <v>2.6450000000000138</v>
      </c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</row>
    <row r="59" spans="1:39" x14ac:dyDescent="0.2">
      <c r="F59" s="5"/>
      <c r="G59" s="5"/>
      <c r="H59" s="5"/>
      <c r="I59" s="5"/>
      <c r="J59" s="5"/>
      <c r="K59" s="5"/>
      <c r="L59" s="5"/>
      <c r="N59" s="5"/>
      <c r="O59" s="5"/>
    </row>
    <row r="60" spans="1:39" x14ac:dyDescent="0.2">
      <c r="A60" t="s">
        <v>65</v>
      </c>
      <c r="F60" s="5">
        <f>+-2.808-0.152-2.574</f>
        <v>-5.5339999999999998</v>
      </c>
      <c r="G60" s="5">
        <f>+-4.101-0.194-6.028-SUM(F60)</f>
        <v>-4.7890000000000006</v>
      </c>
      <c r="H60" s="5">
        <f>+-4.827-0.247-10.279-SUM(F60:G60)</f>
        <v>-5.0299999999999994</v>
      </c>
      <c r="I60" s="5">
        <f>+-4.953-0.407-13.452-SUM(F60:H60)</f>
        <v>-3.4590000000000014</v>
      </c>
      <c r="J60" s="5">
        <f>-0.462-0.173-2.912</f>
        <v>-3.5469999999999997</v>
      </c>
      <c r="K60" s="5">
        <f>+-0.494-0.213-6.165-SUM(J60)</f>
        <v>-3.3250000000000002</v>
      </c>
      <c r="L60" s="5">
        <f>+-1.117-3.436-9.687-SUM(J60:K60)</f>
        <v>-7.3679999999999986</v>
      </c>
      <c r="M60" s="5">
        <f>-1.304-3.505-13.956-SUM(J60:L60)</f>
        <v>-4.5250000000000021</v>
      </c>
      <c r="N60" s="5">
        <f>-0.886-0.073-7.361</f>
        <v>-8.32</v>
      </c>
      <c r="O60" s="5">
        <f>-1.439-0.133-14.544-N60</f>
        <v>-7.7959999999999994</v>
      </c>
    </row>
    <row r="61" spans="1:39" x14ac:dyDescent="0.2">
      <c r="A61" t="s">
        <v>66</v>
      </c>
      <c r="F61" s="5">
        <v>-852.99099999999999</v>
      </c>
      <c r="G61" s="5">
        <f>+-1243.594+291.845-SUM(F61)</f>
        <v>-98.758000000000038</v>
      </c>
      <c r="H61" s="5">
        <f>+-1728.162+778.555-SUM(F61:G61)</f>
        <v>2.1419999999999391</v>
      </c>
      <c r="I61" s="5">
        <f>-1938.007+925.185-SUM(F61:H61)</f>
        <v>-63.215000000000032</v>
      </c>
      <c r="J61" s="5">
        <f>-150.639+185.296</f>
        <v>34.656999999999982</v>
      </c>
      <c r="K61" s="5">
        <f>+-350.416+371.996-SUM(J61)</f>
        <v>-13.076999999999998</v>
      </c>
      <c r="L61" s="5">
        <f>+-462.539+504.34-SUM(J61:K61)</f>
        <v>20.221000000000004</v>
      </c>
      <c r="M61" s="5">
        <f>-466.253+639.193-SUM(J61:L61)</f>
        <v>131.13900000000001</v>
      </c>
      <c r="N61" s="5">
        <v>-246.965</v>
      </c>
      <c r="O61" s="5">
        <f>-442.629+404.677-N61</f>
        <v>209.01300000000001</v>
      </c>
    </row>
    <row r="62" spans="1:39" x14ac:dyDescent="0.2">
      <c r="A62" t="s">
        <v>67</v>
      </c>
      <c r="F62" s="5">
        <v>0</v>
      </c>
      <c r="G62" s="5">
        <v>-281.03199999999998</v>
      </c>
      <c r="H62" s="5">
        <f>-281.032-SUM(F62:G62)</f>
        <v>0</v>
      </c>
      <c r="I62" s="5">
        <f>-281.032-SUM(F62:H62)</f>
        <v>0</v>
      </c>
      <c r="J62" s="5">
        <v>0</v>
      </c>
      <c r="K62" s="5">
        <v>0</v>
      </c>
      <c r="L62" s="5">
        <v>0</v>
      </c>
      <c r="M62" s="5">
        <f>+-13.585-SUM(J62:L62)</f>
        <v>-13.585000000000001</v>
      </c>
      <c r="N62" s="5">
        <f>210.574-61.553</f>
        <v>149.02100000000002</v>
      </c>
      <c r="O62" s="5">
        <f>-61.553-N62</f>
        <v>-210.57400000000001</v>
      </c>
    </row>
    <row r="63" spans="1:39" x14ac:dyDescent="0.2">
      <c r="A63" t="s">
        <v>68</v>
      </c>
      <c r="F63" s="5">
        <f t="shared" ref="F63:M63" si="80">SUM(F60:F62)</f>
        <v>-858.52499999999998</v>
      </c>
      <c r="G63" s="5">
        <f t="shared" si="80"/>
        <v>-384.57900000000001</v>
      </c>
      <c r="H63" s="5">
        <f t="shared" si="80"/>
        <v>-2.8880000000000603</v>
      </c>
      <c r="I63" s="5">
        <f t="shared" si="80"/>
        <v>-66.674000000000035</v>
      </c>
      <c r="J63" s="5">
        <f t="shared" si="80"/>
        <v>31.109999999999982</v>
      </c>
      <c r="K63" s="5">
        <f t="shared" si="80"/>
        <v>-16.401999999999997</v>
      </c>
      <c r="L63" s="5">
        <f t="shared" si="80"/>
        <v>12.853000000000005</v>
      </c>
      <c r="M63" s="5">
        <f t="shared" si="80"/>
        <v>113.029</v>
      </c>
      <c r="N63" s="5">
        <f t="shared" ref="N63:O63" si="81">SUM(N60:N62)</f>
        <v>-106.26399999999998</v>
      </c>
      <c r="O63" s="5">
        <f t="shared" si="81"/>
        <v>-9.3569999999999993</v>
      </c>
    </row>
    <row r="64" spans="1:39" x14ac:dyDescent="0.2">
      <c r="F64" s="5"/>
      <c r="G64" s="5"/>
      <c r="H64" s="5"/>
      <c r="I64" s="5"/>
      <c r="J64" s="5"/>
      <c r="K64" s="5"/>
      <c r="L64" s="5"/>
      <c r="N64" s="5"/>
      <c r="O64" s="5"/>
    </row>
    <row r="65" spans="1:15" x14ac:dyDescent="0.2">
      <c r="A65" t="s">
        <v>69</v>
      </c>
      <c r="F65" s="5">
        <v>5.09</v>
      </c>
      <c r="G65" s="5">
        <f>8.382-SUM(F65)</f>
        <v>3.2919999999999998</v>
      </c>
      <c r="H65" s="5">
        <f>11.282-SUM(F65:G65)</f>
        <v>2.9000000000000004</v>
      </c>
      <c r="I65" s="5">
        <f>17.335-SUM(F65:H65)</f>
        <v>6.0530000000000008</v>
      </c>
      <c r="J65" s="5">
        <v>9.7620000000000005</v>
      </c>
      <c r="K65" s="5">
        <f>13.845-SUM(J65)</f>
        <v>4.0830000000000002</v>
      </c>
      <c r="L65" s="5">
        <f>17.366-SUM(J65:K65)</f>
        <v>3.520999999999999</v>
      </c>
      <c r="M65" s="5">
        <f>28.317-SUM(J65:L65)</f>
        <v>10.951000000000001</v>
      </c>
      <c r="N65" s="5">
        <f>+-0.021+6.554</f>
        <v>6.5330000000000004</v>
      </c>
      <c r="O65" s="5">
        <f>-0.21+12.813-N65</f>
        <v>6.0699999999999994</v>
      </c>
    </row>
    <row r="66" spans="1:15" x14ac:dyDescent="0.2">
      <c r="A66" t="s">
        <v>84</v>
      </c>
      <c r="F66" s="5">
        <v>0</v>
      </c>
      <c r="G66" s="5">
        <f>8.682-SUM(F66)</f>
        <v>8.6820000000000004</v>
      </c>
      <c r="H66" s="5">
        <f ca="1">8.682-SUM(F66:H66)</f>
        <v>0</v>
      </c>
      <c r="I66" s="5">
        <f ca="1">19.159-SUM(F66:H66)</f>
        <v>0</v>
      </c>
      <c r="J66" s="5">
        <v>0</v>
      </c>
      <c r="K66" s="5">
        <f>6.416-SUM(J66)</f>
        <v>6.4160000000000004</v>
      </c>
      <c r="L66" s="5">
        <f>6.416-SUM(J66:K66)</f>
        <v>0</v>
      </c>
      <c r="M66" s="5">
        <f>19.147-SUM(J66:L66)</f>
        <v>12.730999999999998</v>
      </c>
      <c r="N66" s="5">
        <v>0</v>
      </c>
      <c r="O66" s="5">
        <f>8.8-N66</f>
        <v>8.8000000000000007</v>
      </c>
    </row>
    <row r="67" spans="1:15" x14ac:dyDescent="0.2">
      <c r="A67" t="s">
        <v>70</v>
      </c>
      <c r="F67" s="5">
        <f>SUM(F65:F66)</f>
        <v>5.09</v>
      </c>
      <c r="G67" s="5">
        <f>SUM(G65:G66)</f>
        <v>11.974</v>
      </c>
      <c r="H67" s="5">
        <f ca="1">SUM(H65:H66)</f>
        <v>2.7140000000000004</v>
      </c>
      <c r="I67" s="5">
        <f ca="1">SUM(I65:I66)</f>
        <v>2.7140000000000004</v>
      </c>
      <c r="J67" s="5">
        <f>SUM(J65:J66)</f>
        <v>9.7620000000000005</v>
      </c>
      <c r="K67" s="5">
        <f>SUM(K65:K66)</f>
        <v>10.499000000000001</v>
      </c>
      <c r="L67" s="5">
        <f>SUM(L65:L66)</f>
        <v>3.520999999999999</v>
      </c>
      <c r="M67" s="5">
        <f>SUM(M65:M66)</f>
        <v>23.681999999999999</v>
      </c>
      <c r="N67" s="5">
        <f>SUM(N65:N66)</f>
        <v>6.5330000000000004</v>
      </c>
      <c r="O67" s="5">
        <f>SUM(O65:O66)</f>
        <v>14.870000000000001</v>
      </c>
    </row>
    <row r="68" spans="1:15" x14ac:dyDescent="0.2">
      <c r="A68" t="s">
        <v>71</v>
      </c>
      <c r="F68" s="5">
        <f>+F58+F63+F67</f>
        <v>-902.78599999999994</v>
      </c>
      <c r="G68" s="5">
        <f>+G58+G63+G67</f>
        <v>-434.73099999999999</v>
      </c>
      <c r="H68" s="5">
        <f ca="1">+H58+H63+H67</f>
        <v>-59.91500000000007</v>
      </c>
      <c r="I68" s="5">
        <f ca="1">+I58+I63+I67</f>
        <v>-59.91500000000007</v>
      </c>
      <c r="J68" s="5">
        <f>+J58+J63+J67</f>
        <v>12.812999999999985</v>
      </c>
      <c r="K68" s="5">
        <f>+K58+K63+K67</f>
        <v>-17.806000000000004</v>
      </c>
      <c r="L68" s="5">
        <f>+L58+L63+L67</f>
        <v>-5.8470000000000137</v>
      </c>
      <c r="M68" s="5">
        <f>+M58+M63+M67</f>
        <v>130.52000000000001</v>
      </c>
      <c r="N68" s="5">
        <f>+N58+N63+N67</f>
        <v>-57.727999999999994</v>
      </c>
      <c r="O68" s="5">
        <f>+O58+O63+O67</f>
        <v>8.1580000000000155</v>
      </c>
    </row>
    <row r="69" spans="1:15" x14ac:dyDescent="0.2">
      <c r="F69" s="5"/>
      <c r="G69" s="5"/>
      <c r="H69" s="5"/>
      <c r="I69" s="5"/>
      <c r="J69" s="5"/>
      <c r="K69" s="5"/>
      <c r="L69" s="5"/>
      <c r="N69" s="5"/>
    </row>
    <row r="70" spans="1:15" x14ac:dyDescent="0.2">
      <c r="A70" t="s">
        <v>72</v>
      </c>
      <c r="F70" s="5">
        <f>+F58+F60-F54</f>
        <v>-86.515000000000015</v>
      </c>
      <c r="G70" s="5">
        <f>+G58+G60-G54</f>
        <v>-107.91599999999998</v>
      </c>
      <c r="H70" s="5">
        <f>+H58+H60-H54</f>
        <v>-110.458</v>
      </c>
      <c r="I70" s="5">
        <f ca="1">+I58+I60-I54</f>
        <v>-79.938000000000017</v>
      </c>
      <c r="J70" s="5">
        <f>+J58+J60-J54</f>
        <v>-87.155000000000001</v>
      </c>
      <c r="K70" s="5">
        <f>+K58+K60-K54</f>
        <v>-68.074000000000012</v>
      </c>
      <c r="L70" s="5">
        <f>+L58+L60-L54</f>
        <v>-84.50200000000001</v>
      </c>
      <c r="M70" s="5">
        <f>+M58+M60-M54</f>
        <v>-64.277999999999992</v>
      </c>
      <c r="N70" s="5">
        <f>+N58+N60-N54</f>
        <v>-24.870000000000005</v>
      </c>
      <c r="O70" s="5">
        <f>+O58+O60-O54</f>
        <v>-69.827999999999989</v>
      </c>
    </row>
    <row r="72" spans="1:15" x14ac:dyDescent="0.2">
      <c r="A72" t="s">
        <v>81</v>
      </c>
      <c r="I72" s="5">
        <f t="shared" ref="I72:M72" ca="1" si="82">+SUM(F70:I70)</f>
        <v>-241.72400000000002</v>
      </c>
      <c r="J72" s="5">
        <f t="shared" ca="1" si="82"/>
        <v>-241.72400000000002</v>
      </c>
      <c r="K72" s="5">
        <f t="shared" ca="1" si="82"/>
        <v>-241.72400000000002</v>
      </c>
      <c r="L72" s="5">
        <f t="shared" ca="1" si="82"/>
        <v>-241.72400000000002</v>
      </c>
      <c r="M72" s="5">
        <f t="shared" si="82"/>
        <v>-304.00900000000001</v>
      </c>
      <c r="N72" s="5">
        <f>+SUM(K70:N70)</f>
        <v>-241.72400000000002</v>
      </c>
      <c r="O72" s="5">
        <f>+SUM(L70:O70)</f>
        <v>-243.47800000000001</v>
      </c>
    </row>
  </sheetData>
  <pageMargins left="0.7" right="0.7" top="0.75" bottom="0.75" header="0.3" footer="0.3"/>
  <ignoredErrors>
    <ignoredError sqref="X13" formulaRange="1"/>
    <ignoredError sqref="X6" formula="1"/>
    <ignoredError sqref="X14" formula="1" formulaRang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Hesselberth</dc:creator>
  <cp:lastModifiedBy>Dennis Hesselberth</cp:lastModifiedBy>
  <dcterms:created xsi:type="dcterms:W3CDTF">2024-03-27T16:12:39Z</dcterms:created>
  <dcterms:modified xsi:type="dcterms:W3CDTF">2024-12-04T19:36:42Z</dcterms:modified>
</cp:coreProperties>
</file>