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Main\Information Technology\"/>
    </mc:Choice>
  </mc:AlternateContent>
  <xr:revisionPtr revIDLastSave="0" documentId="13_ncr:1_{027CB494-3EB4-496E-8B87-6AC33F60054F}" xr6:coauthVersionLast="47" xr6:coauthVersionMax="47" xr10:uidLastSave="{00000000-0000-0000-0000-000000000000}"/>
  <bookViews>
    <workbookView xWindow="-120" yWindow="-120" windowWidth="29040" windowHeight="15840" xr2:uid="{983FA30C-94E2-4089-A611-FBA6D94EA364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L4" i="1"/>
  <c r="L5" i="1" s="1"/>
  <c r="R55" i="2"/>
  <c r="R54" i="2"/>
  <c r="R53" i="2"/>
  <c r="R49" i="2"/>
  <c r="R44" i="2"/>
  <c r="R42" i="2"/>
  <c r="R41" i="2"/>
  <c r="R40" i="2"/>
  <c r="R39" i="2"/>
  <c r="R38" i="2"/>
  <c r="R30" i="2"/>
  <c r="R32" i="2"/>
  <c r="R34" i="2"/>
  <c r="R37" i="2" s="1"/>
  <c r="R33" i="2"/>
  <c r="R31" i="2"/>
  <c r="R50" i="2" s="1"/>
  <c r="R45" i="2"/>
  <c r="R47" i="2" s="1"/>
  <c r="R15" i="2"/>
  <c r="R13" i="2"/>
  <c r="R8" i="2"/>
  <c r="R5" i="2"/>
  <c r="R27" i="2" s="1"/>
  <c r="K53" i="2"/>
  <c r="K52" i="2"/>
  <c r="L52" i="2" s="1"/>
  <c r="M52" i="2" s="1"/>
  <c r="O52" i="2"/>
  <c r="P52" i="2" s="1"/>
  <c r="J53" i="2"/>
  <c r="J54" i="2" s="1"/>
  <c r="N53" i="2"/>
  <c r="O53" i="2" s="1"/>
  <c r="AE53" i="2"/>
  <c r="AE54" i="2" s="1"/>
  <c r="AF53" i="2"/>
  <c r="AF54" i="2" s="1"/>
  <c r="AF44" i="2"/>
  <c r="AF40" i="2"/>
  <c r="AF42" i="2"/>
  <c r="AF41" i="2"/>
  <c r="AF39" i="2"/>
  <c r="AF38" i="2"/>
  <c r="AF34" i="2"/>
  <c r="AF33" i="2"/>
  <c r="AF32" i="2"/>
  <c r="AF31" i="2"/>
  <c r="AF30" i="2"/>
  <c r="M17" i="2"/>
  <c r="M12" i="2"/>
  <c r="M11" i="2"/>
  <c r="M10" i="2"/>
  <c r="M7" i="2"/>
  <c r="M6" i="2"/>
  <c r="M4" i="2"/>
  <c r="M3" i="2"/>
  <c r="Q17" i="2"/>
  <c r="Q12" i="2"/>
  <c r="Q11" i="2"/>
  <c r="Q10" i="2"/>
  <c r="Q7" i="2"/>
  <c r="Q6" i="2"/>
  <c r="Q4" i="2"/>
  <c r="Q3" i="2"/>
  <c r="J15" i="2"/>
  <c r="J13" i="2"/>
  <c r="J8" i="2"/>
  <c r="J5" i="2"/>
  <c r="J27" i="2" s="1"/>
  <c r="N15" i="2"/>
  <c r="N13" i="2"/>
  <c r="N8" i="2"/>
  <c r="N5" i="2"/>
  <c r="K15" i="2"/>
  <c r="K13" i="2"/>
  <c r="K8" i="2"/>
  <c r="K5" i="2"/>
  <c r="K27" i="2" s="1"/>
  <c r="O15" i="2"/>
  <c r="O13" i="2"/>
  <c r="O8" i="2"/>
  <c r="O5" i="2"/>
  <c r="L15" i="2"/>
  <c r="L13" i="2"/>
  <c r="L8" i="2"/>
  <c r="L5" i="2"/>
  <c r="L27" i="2" s="1"/>
  <c r="P15" i="2"/>
  <c r="P13" i="2"/>
  <c r="P8" i="2"/>
  <c r="P5" i="2"/>
  <c r="AE15" i="2"/>
  <c r="AE13" i="2"/>
  <c r="AE8" i="2"/>
  <c r="AE5" i="2"/>
  <c r="AE27" i="2" s="1"/>
  <c r="AF15" i="2"/>
  <c r="AF13" i="2"/>
  <c r="AF8" i="2"/>
  <c r="AF5" i="2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L8" i="1" l="1"/>
  <c r="L10" i="1" s="1"/>
  <c r="R9" i="2"/>
  <c r="R22" i="2" s="1"/>
  <c r="Q5" i="2"/>
  <c r="Q9" i="2" s="1"/>
  <c r="Q22" i="2" s="1"/>
  <c r="M13" i="2"/>
  <c r="AF9" i="2"/>
  <c r="Q13" i="2"/>
  <c r="M5" i="2"/>
  <c r="M27" i="2" s="1"/>
  <c r="N54" i="2"/>
  <c r="AF45" i="2"/>
  <c r="AF47" i="2" s="1"/>
  <c r="M15" i="2"/>
  <c r="Q15" i="2"/>
  <c r="Q8" i="2"/>
  <c r="O54" i="2"/>
  <c r="AF27" i="2"/>
  <c r="P53" i="2"/>
  <c r="P54" i="2" s="1"/>
  <c r="M8" i="2"/>
  <c r="L53" i="2"/>
  <c r="M53" i="2" s="1"/>
  <c r="M54" i="2" s="1"/>
  <c r="Q52" i="2"/>
  <c r="AF37" i="2"/>
  <c r="K54" i="2"/>
  <c r="N27" i="2"/>
  <c r="J9" i="2"/>
  <c r="J14" i="2" s="1"/>
  <c r="N9" i="2"/>
  <c r="N14" i="2" s="1"/>
  <c r="N16" i="2" s="1"/>
  <c r="K9" i="2"/>
  <c r="K22" i="2" s="1"/>
  <c r="O27" i="2"/>
  <c r="O9" i="2"/>
  <c r="O14" i="2" s="1"/>
  <c r="O23" i="2" s="1"/>
  <c r="L9" i="2"/>
  <c r="L14" i="2" s="1"/>
  <c r="P27" i="2"/>
  <c r="P9" i="2"/>
  <c r="P14" i="2" s="1"/>
  <c r="AF14" i="2"/>
  <c r="AF22" i="2"/>
  <c r="AE9" i="2"/>
  <c r="AE14" i="2" s="1"/>
  <c r="AE16" i="2" s="1"/>
  <c r="R14" i="2" l="1"/>
  <c r="R23" i="2" s="1"/>
  <c r="Q27" i="2"/>
  <c r="Q53" i="2"/>
  <c r="Q54" i="2" s="1"/>
  <c r="Q55" i="2" s="1"/>
  <c r="M9" i="2"/>
  <c r="P55" i="2"/>
  <c r="Q14" i="2"/>
  <c r="Q23" i="2" s="1"/>
  <c r="L54" i="2"/>
  <c r="O55" i="2" s="1"/>
  <c r="O16" i="2"/>
  <c r="O25" i="2" s="1"/>
  <c r="O22" i="2"/>
  <c r="J22" i="2"/>
  <c r="J23" i="2"/>
  <c r="J16" i="2"/>
  <c r="N23" i="2"/>
  <c r="N22" i="2"/>
  <c r="N25" i="2"/>
  <c r="N18" i="2"/>
  <c r="K14" i="2"/>
  <c r="K23" i="2" s="1"/>
  <c r="L22" i="2"/>
  <c r="L23" i="2"/>
  <c r="L16" i="2"/>
  <c r="P22" i="2"/>
  <c r="P23" i="2"/>
  <c r="P16" i="2"/>
  <c r="AF16" i="2"/>
  <c r="AF23" i="2"/>
  <c r="AE23" i="2"/>
  <c r="AE22" i="2"/>
  <c r="AE25" i="2"/>
  <c r="AE18" i="2"/>
  <c r="R16" i="2" l="1"/>
  <c r="R25" i="2" s="1"/>
  <c r="Q16" i="2"/>
  <c r="Q18" i="2" s="1"/>
  <c r="M22" i="2"/>
  <c r="M14" i="2"/>
  <c r="N55" i="2"/>
  <c r="M55" i="2"/>
  <c r="O18" i="2"/>
  <c r="O24" i="2" s="1"/>
  <c r="J25" i="2"/>
  <c r="J18" i="2"/>
  <c r="N24" i="2"/>
  <c r="N19" i="2"/>
  <c r="K16" i="2"/>
  <c r="K25" i="2" s="1"/>
  <c r="L25" i="2"/>
  <c r="L18" i="2"/>
  <c r="P25" i="2"/>
  <c r="P18" i="2"/>
  <c r="AF18" i="2"/>
  <c r="AF49" i="2" s="1"/>
  <c r="AF50" i="2" s="1"/>
  <c r="AF25" i="2"/>
  <c r="AE24" i="2"/>
  <c r="AE19" i="2"/>
  <c r="R18" i="2" l="1"/>
  <c r="R24" i="2"/>
  <c r="R19" i="2"/>
  <c r="M16" i="2"/>
  <c r="M23" i="2"/>
  <c r="Q25" i="2"/>
  <c r="O19" i="2"/>
  <c r="Q19" i="2"/>
  <c r="Q24" i="2"/>
  <c r="J24" i="2"/>
  <c r="J19" i="2"/>
  <c r="K18" i="2"/>
  <c r="K24" i="2" s="1"/>
  <c r="L24" i="2"/>
  <c r="L19" i="2"/>
  <c r="P24" i="2"/>
  <c r="P19" i="2"/>
  <c r="AF19" i="2"/>
  <c r="AF24" i="2"/>
  <c r="M18" i="2" l="1"/>
  <c r="M25" i="2"/>
  <c r="K19" i="2"/>
  <c r="M19" i="2" l="1"/>
  <c r="M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Fidel</author>
  </authors>
  <commentList>
    <comment ref="AG3" authorId="0" shapeId="0" xr:uid="{DF0185E3-7C1C-4192-AA16-4226D2963F24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€33.1 – 33.6 billion</t>
        </r>
      </text>
    </comment>
    <comment ref="AG54" authorId="0" shapeId="0" xr:uid="{42C13CC3-9352-4443-8C18-D5D657FE3DCB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Guidedance
€8.0 billion free cash flow</t>
        </r>
      </text>
    </comment>
  </commentList>
</comments>
</file>

<file path=xl/sharedStrings.xml><?xml version="1.0" encoding="utf-8"?>
<sst xmlns="http://schemas.openxmlformats.org/spreadsheetml/2006/main" count="74" uniqueCount="69">
  <si>
    <t>Revenue</t>
  </si>
  <si>
    <t>COGS</t>
  </si>
  <si>
    <t>Gross profit</t>
  </si>
  <si>
    <t>R&amp;D</t>
  </si>
  <si>
    <t>Operating expense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</si>
  <si>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</si>
  <si>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</si>
  <si>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</si>
  <si>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</si>
  <si>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</si>
  <si>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</si>
  <si>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</si>
  <si>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</si>
  <si>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</si>
  <si>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</si>
  <si>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</si>
  <si>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</si>
  <si>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</si>
  <si>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</si>
  <si>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</si>
  <si>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</si>
  <si>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</si>
  <si>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</si>
  <si>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</si>
  <si>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</si>
  <si>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</si>
  <si>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</si>
  <si>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</si>
  <si>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</si>
  <si>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</si>
  <si>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</si>
  <si>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</si>
  <si>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</si>
  <si>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Cash</t>
  </si>
  <si>
    <t>Debt</t>
  </si>
  <si>
    <t>Price EUR</t>
  </si>
  <si>
    <t>MC EUR</t>
  </si>
  <si>
    <t>Cash EUR</t>
  </si>
  <si>
    <t>Debt EUR</t>
  </si>
  <si>
    <t>EV EUR</t>
  </si>
  <si>
    <t>Cloud and software</t>
  </si>
  <si>
    <t>Services</t>
  </si>
  <si>
    <t>Cost of cloud and software</t>
  </si>
  <si>
    <t>Cost of services</t>
  </si>
  <si>
    <t>S&amp;M</t>
  </si>
  <si>
    <t>G&amp;A</t>
  </si>
  <si>
    <t>Net cash</t>
  </si>
  <si>
    <t>AR</t>
  </si>
  <si>
    <t>ONCA</t>
  </si>
  <si>
    <t>Goodwill</t>
  </si>
  <si>
    <t>PP&amp;E</t>
  </si>
  <si>
    <t>DT</t>
  </si>
  <si>
    <t>Assets</t>
  </si>
  <si>
    <t>AP</t>
  </si>
  <si>
    <t>Tax liabilties</t>
  </si>
  <si>
    <t>Tax assets</t>
  </si>
  <si>
    <t>ONCL</t>
  </si>
  <si>
    <t>Provisions</t>
  </si>
  <si>
    <t xml:space="preserve">Contract </t>
  </si>
  <si>
    <t>Liabilities</t>
  </si>
  <si>
    <t>S/E</t>
  </si>
  <si>
    <t>L+S/E</t>
  </si>
  <si>
    <t>NI TTM</t>
  </si>
  <si>
    <t>ROTA</t>
  </si>
  <si>
    <t>CFFO</t>
  </si>
  <si>
    <t>CapEx</t>
  </si>
  <si>
    <t>FCF</t>
  </si>
  <si>
    <t>TTM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</si>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</sst>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;@"/>
    <numFmt numFmtId="165" formatCode="0\x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left"/>
    </xf>
    <xf numFmtId="3" fontId="1" fillId="0" borderId="0" xfId="0" applyNumberFormat="1" applyFont="1"/>
    <xf numFmtId="9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0</xdr:row>
      <xdr:rowOff>0</xdr:rowOff>
    </xdr:from>
    <xdr:to>
      <xdr:col>18</xdr:col>
      <xdr:colOff>28575</xdr:colOff>
      <xdr:row>59</xdr:row>
      <xdr:rowOff>66675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1F6BCB4-0C08-F4B1-961E-4A2DFC7A90B2}"/>
            </a:ext>
          </a:extLst>
        </xdr:cNvPr>
        <xdr:cNvCxnSpPr/>
      </xdr:nvCxnSpPr>
      <xdr:spPr>
        <a:xfrm>
          <a:off x="11506200" y="0"/>
          <a:ext cx="0" cy="962025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0</xdr:row>
      <xdr:rowOff>0</xdr:rowOff>
    </xdr:from>
    <xdr:to>
      <xdr:col>32</xdr:col>
      <xdr:colOff>38100</xdr:colOff>
      <xdr:row>65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2C34750-7C97-496D-A85F-3A6BB25D32D3}"/>
            </a:ext>
          </a:extLst>
        </xdr:cNvPr>
        <xdr:cNvCxnSpPr/>
      </xdr:nvCxnSpPr>
      <xdr:spPr>
        <a:xfrm>
          <a:off x="18221325" y="0"/>
          <a:ext cx="0" cy="106680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52582-EF2F-4A30-BD95-192203A6BB5A}">
  <dimension ref="K3:M10"/>
  <sheetViews>
    <sheetView tabSelected="1" workbookViewId="0">
      <selection activeCell="O16" sqref="O16"/>
    </sheetView>
  </sheetViews>
  <sheetFormatPr defaultRowHeight="12.75" x14ac:dyDescent="0.2"/>
  <cols>
    <col min="11" max="11" width="9.7109375" bestFit="1" customWidth="1"/>
  </cols>
  <sheetData>
    <row r="3" spans="11:13" x14ac:dyDescent="0.2">
      <c r="K3" t="s">
        <v>35</v>
      </c>
      <c r="L3" s="4">
        <v>239.75</v>
      </c>
    </row>
    <row r="4" spans="11:13" x14ac:dyDescent="0.2">
      <c r="K4" t="s">
        <v>11</v>
      </c>
      <c r="L4" s="1">
        <f>+Model!R20</f>
        <v>1167</v>
      </c>
      <c r="M4" s="10" t="s">
        <v>68</v>
      </c>
    </row>
    <row r="5" spans="11:13" x14ac:dyDescent="0.2">
      <c r="K5" t="s">
        <v>36</v>
      </c>
      <c r="L5" s="1">
        <f>+L3*L4</f>
        <v>279788.25</v>
      </c>
      <c r="M5" s="10"/>
    </row>
    <row r="6" spans="11:13" x14ac:dyDescent="0.2">
      <c r="K6" t="s">
        <v>37</v>
      </c>
      <c r="L6" s="1">
        <f>+Model!R31</f>
        <v>8098</v>
      </c>
      <c r="M6" s="10" t="s">
        <v>68</v>
      </c>
    </row>
    <row r="7" spans="11:13" x14ac:dyDescent="0.2">
      <c r="K7" t="s">
        <v>38</v>
      </c>
      <c r="L7" s="1">
        <f>+Model!R40</f>
        <v>10107</v>
      </c>
      <c r="M7" s="10" t="s">
        <v>68</v>
      </c>
    </row>
    <row r="8" spans="11:13" x14ac:dyDescent="0.2">
      <c r="K8" t="s">
        <v>39</v>
      </c>
      <c r="L8" s="1">
        <f>+L5-L6+L7</f>
        <v>281797.25</v>
      </c>
    </row>
    <row r="9" spans="11:13" x14ac:dyDescent="0.2">
      <c r="L9" s="1">
        <v>6901</v>
      </c>
    </row>
    <row r="10" spans="11:13" x14ac:dyDescent="0.2">
      <c r="L10" s="9">
        <f>+L8/L9</f>
        <v>40.834263150268079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80FD-921F-44D0-9939-745AD911B04D}">
  <dimension ref="A1:AP55"/>
  <sheetViews>
    <sheetView workbookViewId="0">
      <pane xSplit="1" ySplit="2" topLeftCell="J33" activePane="bottomRight" state="frozen"/>
      <selection pane="topRight" activeCell="B1" sqref="B1"/>
      <selection pane="bottomLeft" activeCell="A3" sqref="A3"/>
      <selection pane="bottomRight" activeCell="N58" sqref="N58"/>
    </sheetView>
  </sheetViews>
  <sheetFormatPr defaultRowHeight="12.75" x14ac:dyDescent="0.2"/>
  <cols>
    <col min="1" max="1" width="16.7109375" style="1" bestFit="1" customWidth="1"/>
    <col min="2" max="16384" width="9.140625" style="1"/>
  </cols>
  <sheetData>
    <row r="1" spans="1:42" s="8" customFormat="1" x14ac:dyDescent="0.2">
      <c r="J1" s="8">
        <v>45016</v>
      </c>
      <c r="K1" s="8">
        <v>45107</v>
      </c>
      <c r="L1" s="8">
        <v>45199</v>
      </c>
      <c r="M1" s="8">
        <v>45291</v>
      </c>
      <c r="N1" s="8">
        <v>45382</v>
      </c>
      <c r="O1" s="8">
        <v>45473</v>
      </c>
      <c r="P1" s="8">
        <v>45565</v>
      </c>
      <c r="Q1" s="8">
        <v>45657</v>
      </c>
      <c r="R1" s="8">
        <v>45747</v>
      </c>
    </row>
    <row r="2" spans="1:42" x14ac:dyDescent="0.2">
      <c r="A2" s="2"/>
      <c r="B2" s="2" t="s">
        <v>17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18</v>
      </c>
      <c r="H2" s="2" t="s">
        <v>19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68</v>
      </c>
      <c r="S2" s="2"/>
      <c r="T2" s="2"/>
      <c r="V2">
        <v>2014</v>
      </c>
      <c r="W2">
        <f>+V2+1</f>
        <v>2015</v>
      </c>
      <c r="X2">
        <f t="shared" ref="X2:AP2" si="0">+W2+1</f>
        <v>2016</v>
      </c>
      <c r="Y2">
        <f t="shared" si="0"/>
        <v>2017</v>
      </c>
      <c r="Z2">
        <f t="shared" si="0"/>
        <v>2018</v>
      </c>
      <c r="AA2">
        <f t="shared" si="0"/>
        <v>2019</v>
      </c>
      <c r="AB2">
        <f t="shared" si="0"/>
        <v>2020</v>
      </c>
      <c r="AC2">
        <f t="shared" si="0"/>
        <v>2021</v>
      </c>
      <c r="AD2">
        <f t="shared" si="0"/>
        <v>2022</v>
      </c>
      <c r="AE2">
        <f t="shared" si="0"/>
        <v>2023</v>
      </c>
      <c r="AF2">
        <f t="shared" si="0"/>
        <v>2024</v>
      </c>
      <c r="AG2">
        <f t="shared" si="0"/>
        <v>2025</v>
      </c>
      <c r="AH2">
        <f t="shared" si="0"/>
        <v>2026</v>
      </c>
      <c r="AI2">
        <f t="shared" si="0"/>
        <v>2027</v>
      </c>
      <c r="AJ2">
        <f t="shared" si="0"/>
        <v>2028</v>
      </c>
      <c r="AK2">
        <f t="shared" si="0"/>
        <v>2029</v>
      </c>
      <c r="AL2">
        <f t="shared" si="0"/>
        <v>2030</v>
      </c>
      <c r="AM2">
        <f t="shared" si="0"/>
        <v>2031</v>
      </c>
      <c r="AN2">
        <f t="shared" si="0"/>
        <v>2032</v>
      </c>
      <c r="AO2">
        <f t="shared" si="0"/>
        <v>2033</v>
      </c>
      <c r="AP2">
        <f t="shared" si="0"/>
        <v>2034</v>
      </c>
    </row>
    <row r="3" spans="1:42" x14ac:dyDescent="0.2">
      <c r="A3" s="5" t="s">
        <v>40</v>
      </c>
      <c r="B3" s="2"/>
      <c r="C3" s="2"/>
      <c r="D3" s="2"/>
      <c r="E3" s="2"/>
      <c r="F3" s="2"/>
      <c r="G3" s="2"/>
      <c r="H3" s="2"/>
      <c r="I3" s="2"/>
      <c r="J3" s="2">
        <v>6358</v>
      </c>
      <c r="K3" s="2">
        <v>6505</v>
      </c>
      <c r="L3" s="2">
        <v>6679</v>
      </c>
      <c r="M3" s="2">
        <f>+AE3-SUM(J3:L3)</f>
        <v>7382</v>
      </c>
      <c r="N3" s="2">
        <v>6960</v>
      </c>
      <c r="O3" s="2">
        <v>7175</v>
      </c>
      <c r="P3" s="2">
        <v>7429</v>
      </c>
      <c r="Q3" s="2">
        <f>+AF3-SUM(N3:P3)</f>
        <v>8266</v>
      </c>
      <c r="R3" s="2">
        <v>7938</v>
      </c>
      <c r="S3" s="2"/>
      <c r="T3" s="2"/>
      <c r="V3"/>
      <c r="W3"/>
      <c r="X3"/>
      <c r="Y3"/>
      <c r="Z3"/>
      <c r="AA3"/>
      <c r="AB3"/>
      <c r="AC3"/>
      <c r="AD3"/>
      <c r="AE3" s="2">
        <v>26924</v>
      </c>
      <c r="AF3" s="2">
        <v>29830</v>
      </c>
      <c r="AG3" s="1">
        <v>33600</v>
      </c>
      <c r="AH3"/>
      <c r="AI3"/>
      <c r="AJ3"/>
      <c r="AK3"/>
      <c r="AL3"/>
      <c r="AM3"/>
      <c r="AN3"/>
      <c r="AO3"/>
      <c r="AP3"/>
    </row>
    <row r="4" spans="1:42" x14ac:dyDescent="0.2">
      <c r="A4" s="5" t="s">
        <v>41</v>
      </c>
      <c r="B4" s="2"/>
      <c r="C4" s="2"/>
      <c r="D4" s="2"/>
      <c r="E4" s="2"/>
      <c r="F4" s="2"/>
      <c r="G4" s="2"/>
      <c r="H4" s="2"/>
      <c r="I4" s="2"/>
      <c r="J4" s="2">
        <v>1083</v>
      </c>
      <c r="K4" s="2">
        <v>1050</v>
      </c>
      <c r="L4" s="2">
        <v>1065</v>
      </c>
      <c r="M4" s="2">
        <f>+AE4-SUM(J4:L4)</f>
        <v>1085</v>
      </c>
      <c r="N4" s="2">
        <v>1081</v>
      </c>
      <c r="O4" s="2">
        <v>1114</v>
      </c>
      <c r="P4" s="2">
        <v>1041</v>
      </c>
      <c r="Q4" s="2">
        <f>+AF4-SUM(N4:P4)</f>
        <v>1110</v>
      </c>
      <c r="R4" s="2">
        <v>1075</v>
      </c>
      <c r="S4" s="2"/>
      <c r="T4" s="2"/>
      <c r="V4"/>
      <c r="W4"/>
      <c r="X4"/>
      <c r="Y4"/>
      <c r="Z4"/>
      <c r="AA4"/>
      <c r="AB4"/>
      <c r="AC4"/>
      <c r="AD4"/>
      <c r="AE4" s="2">
        <v>4283</v>
      </c>
      <c r="AF4" s="2">
        <v>4346</v>
      </c>
      <c r="AG4"/>
      <c r="AH4"/>
      <c r="AI4"/>
      <c r="AJ4"/>
      <c r="AK4"/>
      <c r="AL4"/>
      <c r="AM4"/>
      <c r="AN4"/>
      <c r="AO4"/>
      <c r="AP4"/>
    </row>
    <row r="5" spans="1:42" s="6" customFormat="1" x14ac:dyDescent="0.2">
      <c r="A5" s="6" t="s">
        <v>0</v>
      </c>
      <c r="J5" s="6">
        <f t="shared" ref="J5:R5" si="1">+J3+J4</f>
        <v>7441</v>
      </c>
      <c r="K5" s="6">
        <f t="shared" si="1"/>
        <v>7555</v>
      </c>
      <c r="L5" s="6">
        <f t="shared" si="1"/>
        <v>7744</v>
      </c>
      <c r="M5" s="6">
        <f t="shared" si="1"/>
        <v>8467</v>
      </c>
      <c r="N5" s="6">
        <f t="shared" si="1"/>
        <v>8041</v>
      </c>
      <c r="O5" s="6">
        <f t="shared" si="1"/>
        <v>8289</v>
      </c>
      <c r="P5" s="6">
        <f t="shared" si="1"/>
        <v>8470</v>
      </c>
      <c r="Q5" s="6">
        <f t="shared" si="1"/>
        <v>9376</v>
      </c>
      <c r="R5" s="6">
        <f t="shared" si="1"/>
        <v>9013</v>
      </c>
      <c r="AE5" s="6">
        <f>+AE3+AE4</f>
        <v>31207</v>
      </c>
      <c r="AF5" s="6">
        <f>+AF3+AF4</f>
        <v>34176</v>
      </c>
    </row>
    <row r="6" spans="1:42" x14ac:dyDescent="0.2">
      <c r="A6" s="5" t="s">
        <v>42</v>
      </c>
      <c r="J6" s="1">
        <v>1301</v>
      </c>
      <c r="K6" s="1">
        <v>1282</v>
      </c>
      <c r="L6" s="1">
        <v>1268</v>
      </c>
      <c r="M6" s="2">
        <f t="shared" ref="M6:M7" si="2">+AE6-SUM(J6:L6)</f>
        <v>1416</v>
      </c>
      <c r="N6" s="1">
        <v>1417</v>
      </c>
      <c r="O6" s="1">
        <v>1434</v>
      </c>
      <c r="P6" s="1">
        <v>1167</v>
      </c>
      <c r="Q6" s="2">
        <f t="shared" ref="Q6:Q7" si="3">+AF6-SUM(N6:P6)</f>
        <v>1904</v>
      </c>
      <c r="R6" s="1">
        <v>1565</v>
      </c>
      <c r="S6" s="2"/>
      <c r="T6" s="2"/>
      <c r="AE6" s="1">
        <v>5267</v>
      </c>
      <c r="AF6" s="1">
        <v>5922</v>
      </c>
    </row>
    <row r="7" spans="1:42" x14ac:dyDescent="0.2">
      <c r="A7" s="5" t="s">
        <v>43</v>
      </c>
      <c r="J7" s="1">
        <v>855</v>
      </c>
      <c r="K7" s="1">
        <v>863</v>
      </c>
      <c r="L7" s="1">
        <v>840</v>
      </c>
      <c r="M7" s="2">
        <f t="shared" si="2"/>
        <v>849</v>
      </c>
      <c r="N7" s="1">
        <v>862</v>
      </c>
      <c r="O7" s="1">
        <v>837</v>
      </c>
      <c r="P7" s="1">
        <v>306</v>
      </c>
      <c r="Q7" s="2">
        <f t="shared" si="3"/>
        <v>1316</v>
      </c>
      <c r="R7" s="1">
        <v>841</v>
      </c>
      <c r="S7" s="2"/>
      <c r="T7" s="2"/>
      <c r="AE7" s="1">
        <v>3407</v>
      </c>
      <c r="AF7" s="1">
        <v>3321</v>
      </c>
    </row>
    <row r="8" spans="1:42" x14ac:dyDescent="0.2">
      <c r="A8" s="1" t="s">
        <v>1</v>
      </c>
      <c r="J8" s="1">
        <f t="shared" ref="J8:R8" si="4">+SUM(J6:J7)</f>
        <v>2156</v>
      </c>
      <c r="K8" s="1">
        <f t="shared" si="4"/>
        <v>2145</v>
      </c>
      <c r="L8" s="1">
        <f t="shared" si="4"/>
        <v>2108</v>
      </c>
      <c r="M8" s="1">
        <f t="shared" si="4"/>
        <v>2265</v>
      </c>
      <c r="N8" s="1">
        <f t="shared" si="4"/>
        <v>2279</v>
      </c>
      <c r="O8" s="1">
        <f t="shared" si="4"/>
        <v>2271</v>
      </c>
      <c r="P8" s="1">
        <f t="shared" si="4"/>
        <v>1473</v>
      </c>
      <c r="Q8" s="1">
        <f t="shared" si="4"/>
        <v>3220</v>
      </c>
      <c r="R8" s="1">
        <f t="shared" si="4"/>
        <v>2406</v>
      </c>
      <c r="AE8" s="1">
        <f>+SUM(AE6:AE7)</f>
        <v>8674</v>
      </c>
      <c r="AF8" s="1">
        <f>+SUM(AF6:AF7)</f>
        <v>9243</v>
      </c>
    </row>
    <row r="9" spans="1:42" s="6" customFormat="1" x14ac:dyDescent="0.2">
      <c r="A9" s="6" t="s">
        <v>2</v>
      </c>
      <c r="J9" s="6">
        <f t="shared" ref="J9:R9" si="5">+J5-J8</f>
        <v>5285</v>
      </c>
      <c r="K9" s="6">
        <f t="shared" si="5"/>
        <v>5410</v>
      </c>
      <c r="L9" s="6">
        <f t="shared" si="5"/>
        <v>5636</v>
      </c>
      <c r="M9" s="6">
        <f t="shared" si="5"/>
        <v>6202</v>
      </c>
      <c r="N9" s="6">
        <f t="shared" si="5"/>
        <v>5762</v>
      </c>
      <c r="O9" s="6">
        <f t="shared" si="5"/>
        <v>6018</v>
      </c>
      <c r="P9" s="6">
        <f t="shared" si="5"/>
        <v>6997</v>
      </c>
      <c r="Q9" s="6">
        <f t="shared" si="5"/>
        <v>6156</v>
      </c>
      <c r="R9" s="6">
        <f t="shared" si="5"/>
        <v>6607</v>
      </c>
      <c r="AE9" s="6">
        <f>+AE5-AE8</f>
        <v>22533</v>
      </c>
      <c r="AF9" s="6">
        <f>+AF5-AF8</f>
        <v>24933</v>
      </c>
    </row>
    <row r="10" spans="1:42" x14ac:dyDescent="0.2">
      <c r="A10" s="1" t="s">
        <v>3</v>
      </c>
      <c r="J10" s="1">
        <v>1573</v>
      </c>
      <c r="K10" s="1">
        <v>1565</v>
      </c>
      <c r="L10" s="1">
        <v>1515</v>
      </c>
      <c r="M10" s="2">
        <f t="shared" ref="M10:M12" si="6">+AE10-SUM(J10:L10)</f>
        <v>1671</v>
      </c>
      <c r="N10" s="1">
        <v>1665</v>
      </c>
      <c r="O10" s="1">
        <v>1606</v>
      </c>
      <c r="P10" s="1">
        <v>1568</v>
      </c>
      <c r="Q10" s="2">
        <f t="shared" ref="Q10:Q12" si="7">+AF10-SUM(N10:P10)</f>
        <v>1675</v>
      </c>
      <c r="R10" s="1">
        <v>1673</v>
      </c>
      <c r="S10" s="2"/>
      <c r="T10" s="2"/>
      <c r="AE10" s="1">
        <v>6324</v>
      </c>
      <c r="AF10" s="1">
        <v>6514</v>
      </c>
    </row>
    <row r="11" spans="1:42" x14ac:dyDescent="0.2">
      <c r="A11" s="1" t="s">
        <v>44</v>
      </c>
      <c r="J11" s="1">
        <v>2291</v>
      </c>
      <c r="K11" s="1">
        <v>2165</v>
      </c>
      <c r="L11" s="1">
        <v>2105</v>
      </c>
      <c r="M11" s="2">
        <f t="shared" si="6"/>
        <v>2267</v>
      </c>
      <c r="N11" s="1">
        <v>2278</v>
      </c>
      <c r="O11" s="1">
        <v>2217</v>
      </c>
      <c r="P11" s="1">
        <v>2098</v>
      </c>
      <c r="Q11" s="2">
        <f t="shared" si="7"/>
        <v>2497</v>
      </c>
      <c r="R11" s="1">
        <v>2235</v>
      </c>
      <c r="S11" s="2"/>
      <c r="T11" s="2"/>
      <c r="AE11" s="1">
        <v>8828</v>
      </c>
      <c r="AF11" s="1">
        <v>9090</v>
      </c>
    </row>
    <row r="12" spans="1:42" x14ac:dyDescent="0.2">
      <c r="A12" s="1" t="s">
        <v>45</v>
      </c>
      <c r="J12" s="1">
        <v>348</v>
      </c>
      <c r="K12" s="1">
        <v>322</v>
      </c>
      <c r="L12" s="1">
        <v>327</v>
      </c>
      <c r="M12" s="2">
        <f t="shared" si="6"/>
        <v>367</v>
      </c>
      <c r="N12" s="1">
        <v>360</v>
      </c>
      <c r="O12" s="1">
        <v>336</v>
      </c>
      <c r="P12" s="1">
        <v>361</v>
      </c>
      <c r="Q12" s="2">
        <f t="shared" si="7"/>
        <v>378</v>
      </c>
      <c r="R12" s="1">
        <v>358</v>
      </c>
      <c r="S12" s="2"/>
      <c r="T12" s="2"/>
      <c r="AE12" s="1">
        <v>1364</v>
      </c>
      <c r="AF12" s="1">
        <v>1435</v>
      </c>
    </row>
    <row r="13" spans="1:42" x14ac:dyDescent="0.2">
      <c r="A13" s="1" t="s">
        <v>4</v>
      </c>
      <c r="J13" s="1">
        <f t="shared" ref="J13:R13" si="8">+SUM(J10:J12)</f>
        <v>4212</v>
      </c>
      <c r="K13" s="1">
        <f t="shared" si="8"/>
        <v>4052</v>
      </c>
      <c r="L13" s="1">
        <f t="shared" si="8"/>
        <v>3947</v>
      </c>
      <c r="M13" s="1">
        <f t="shared" si="8"/>
        <v>4305</v>
      </c>
      <c r="N13" s="1">
        <f t="shared" si="8"/>
        <v>4303</v>
      </c>
      <c r="O13" s="1">
        <f t="shared" si="8"/>
        <v>4159</v>
      </c>
      <c r="P13" s="1">
        <f t="shared" si="8"/>
        <v>4027</v>
      </c>
      <c r="Q13" s="1">
        <f t="shared" si="8"/>
        <v>4550</v>
      </c>
      <c r="R13" s="1">
        <f t="shared" si="8"/>
        <v>4266</v>
      </c>
      <c r="AE13" s="1">
        <f>+SUM(AE10:AE12)</f>
        <v>16516</v>
      </c>
      <c r="AF13" s="1">
        <f>+SUM(AF10:AF12)</f>
        <v>17039</v>
      </c>
    </row>
    <row r="14" spans="1:42" s="6" customFormat="1" x14ac:dyDescent="0.2">
      <c r="A14" s="6" t="s">
        <v>5</v>
      </c>
      <c r="J14" s="6">
        <f t="shared" ref="J14:R14" si="9">+J9-J13</f>
        <v>1073</v>
      </c>
      <c r="K14" s="6">
        <f t="shared" si="9"/>
        <v>1358</v>
      </c>
      <c r="L14" s="6">
        <f t="shared" si="9"/>
        <v>1689</v>
      </c>
      <c r="M14" s="6">
        <f t="shared" si="9"/>
        <v>1897</v>
      </c>
      <c r="N14" s="6">
        <f t="shared" si="9"/>
        <v>1459</v>
      </c>
      <c r="O14" s="6">
        <f t="shared" si="9"/>
        <v>1859</v>
      </c>
      <c r="P14" s="6">
        <f t="shared" si="9"/>
        <v>2970</v>
      </c>
      <c r="Q14" s="6">
        <f t="shared" si="9"/>
        <v>1606</v>
      </c>
      <c r="R14" s="6">
        <f t="shared" si="9"/>
        <v>2341</v>
      </c>
      <c r="AE14" s="6">
        <f>+AE9-AE13</f>
        <v>6017</v>
      </c>
      <c r="AF14" s="6">
        <f>+AF9-AF13</f>
        <v>7894</v>
      </c>
    </row>
    <row r="15" spans="1:42" x14ac:dyDescent="0.2">
      <c r="A15" s="1" t="s">
        <v>6</v>
      </c>
      <c r="J15" s="1">
        <f>182-293</f>
        <v>-111</v>
      </c>
      <c r="K15" s="1">
        <f>187-363</f>
        <v>-176</v>
      </c>
      <c r="L15" s="1">
        <f>204-279</f>
        <v>-75</v>
      </c>
      <c r="M15" s="2">
        <f t="shared" ref="M15" si="10">+AE15-SUM(J15:L15)</f>
        <v>-94</v>
      </c>
      <c r="N15" s="1">
        <f>199-244</f>
        <v>-45</v>
      </c>
      <c r="O15" s="1">
        <f>412-242</f>
        <v>170</v>
      </c>
      <c r="P15" s="1">
        <f>240-241</f>
        <v>-1</v>
      </c>
      <c r="Q15" s="2">
        <f t="shared" ref="Q15:Q17" si="11">+AF15-SUM(N15:P15)</f>
        <v>274</v>
      </c>
      <c r="R15" s="1">
        <f>405-280</f>
        <v>125</v>
      </c>
      <c r="S15" s="2"/>
      <c r="T15" s="2"/>
      <c r="AE15" s="1">
        <f>857-1313</f>
        <v>-456</v>
      </c>
      <c r="AF15" s="1">
        <f>1429-1031</f>
        <v>398</v>
      </c>
    </row>
    <row r="16" spans="1:42" x14ac:dyDescent="0.2">
      <c r="A16" s="1" t="s">
        <v>7</v>
      </c>
      <c r="J16" s="1">
        <f t="shared" ref="J16:R16" si="12">+J14+J15</f>
        <v>962</v>
      </c>
      <c r="K16" s="1">
        <f t="shared" si="12"/>
        <v>1182</v>
      </c>
      <c r="L16" s="1">
        <f t="shared" si="12"/>
        <v>1614</v>
      </c>
      <c r="M16" s="1">
        <f t="shared" si="12"/>
        <v>1803</v>
      </c>
      <c r="N16" s="1">
        <f t="shared" si="12"/>
        <v>1414</v>
      </c>
      <c r="O16" s="1">
        <f t="shared" si="12"/>
        <v>2029</v>
      </c>
      <c r="P16" s="1">
        <f t="shared" si="12"/>
        <v>2969</v>
      </c>
      <c r="Q16" s="1">
        <f t="shared" si="12"/>
        <v>1880</v>
      </c>
      <c r="R16" s="1">
        <f t="shared" si="12"/>
        <v>2466</v>
      </c>
      <c r="AE16" s="1">
        <f>+AE14+AE15</f>
        <v>5561</v>
      </c>
      <c r="AF16" s="1">
        <f>+AF14+AF15</f>
        <v>8292</v>
      </c>
    </row>
    <row r="17" spans="1:32" x14ac:dyDescent="0.2">
      <c r="A17" s="1" t="s">
        <v>8</v>
      </c>
      <c r="J17" s="1">
        <v>274</v>
      </c>
      <c r="K17" s="1">
        <v>369</v>
      </c>
      <c r="L17" s="1">
        <v>489</v>
      </c>
      <c r="M17" s="2">
        <f t="shared" ref="M17" si="13">+AE17-SUM(J17:L17)</f>
        <v>609</v>
      </c>
      <c r="N17" s="1">
        <v>-157</v>
      </c>
      <c r="O17" s="1">
        <v>469</v>
      </c>
      <c r="P17" s="1">
        <v>710</v>
      </c>
      <c r="Q17" s="2">
        <f t="shared" si="11"/>
        <v>592</v>
      </c>
      <c r="R17" s="1">
        <v>672</v>
      </c>
      <c r="S17" s="2"/>
      <c r="T17" s="2"/>
      <c r="AE17" s="1">
        <v>1741</v>
      </c>
      <c r="AF17" s="1">
        <v>1614</v>
      </c>
    </row>
    <row r="18" spans="1:32" s="6" customFormat="1" x14ac:dyDescent="0.2">
      <c r="A18" s="6" t="s">
        <v>9</v>
      </c>
      <c r="J18" s="6">
        <f t="shared" ref="J18:R18" si="14">+J16-J17</f>
        <v>688</v>
      </c>
      <c r="K18" s="6">
        <f t="shared" si="14"/>
        <v>813</v>
      </c>
      <c r="L18" s="6">
        <f t="shared" si="14"/>
        <v>1125</v>
      </c>
      <c r="M18" s="6">
        <f t="shared" si="14"/>
        <v>1194</v>
      </c>
      <c r="N18" s="6">
        <f t="shared" si="14"/>
        <v>1571</v>
      </c>
      <c r="O18" s="6">
        <f t="shared" si="14"/>
        <v>1560</v>
      </c>
      <c r="P18" s="6">
        <f t="shared" si="14"/>
        <v>2259</v>
      </c>
      <c r="Q18" s="6">
        <f t="shared" si="14"/>
        <v>1288</v>
      </c>
      <c r="R18" s="6">
        <f t="shared" si="14"/>
        <v>1794</v>
      </c>
      <c r="AE18" s="6">
        <f>+AE16-AE17</f>
        <v>3820</v>
      </c>
      <c r="AF18" s="6">
        <f>+AF16-AF17</f>
        <v>6678</v>
      </c>
    </row>
    <row r="19" spans="1:32" s="4" customFormat="1" x14ac:dyDescent="0.2">
      <c r="A19" s="4" t="s">
        <v>10</v>
      </c>
      <c r="J19" s="4">
        <f t="shared" ref="J19:R19" si="15">+J18/J20</f>
        <v>0.58603066439522999</v>
      </c>
      <c r="K19" s="4">
        <f t="shared" si="15"/>
        <v>0.68898305084745759</v>
      </c>
      <c r="L19" s="4">
        <f t="shared" si="15"/>
        <v>0.95338983050847459</v>
      </c>
      <c r="M19" s="4">
        <f t="shared" si="15"/>
        <v>1.0135823429541595</v>
      </c>
      <c r="N19" s="4">
        <f t="shared" si="15"/>
        <v>1.3324851569126379</v>
      </c>
      <c r="O19" s="4">
        <f t="shared" si="15"/>
        <v>1.3242784380305603</v>
      </c>
      <c r="P19" s="4">
        <f t="shared" si="15"/>
        <v>1.9176570458404074</v>
      </c>
      <c r="Q19" s="4">
        <f t="shared" si="15"/>
        <v>1.0952380952380953</v>
      </c>
      <c r="R19" s="4">
        <f t="shared" si="15"/>
        <v>1.5372750642673523</v>
      </c>
      <c r="AE19" s="4">
        <f>+AE18/AE20</f>
        <v>3.2372881355932202</v>
      </c>
      <c r="AF19" s="4">
        <f>+AF18/AF20</f>
        <v>5.659322033898305</v>
      </c>
    </row>
    <row r="20" spans="1:32" x14ac:dyDescent="0.2">
      <c r="A20" s="1" t="s">
        <v>11</v>
      </c>
      <c r="J20" s="1">
        <v>1174</v>
      </c>
      <c r="K20" s="1">
        <v>1180</v>
      </c>
      <c r="L20" s="1">
        <v>1180</v>
      </c>
      <c r="M20" s="1">
        <v>1178</v>
      </c>
      <c r="N20" s="1">
        <v>1179</v>
      </c>
      <c r="O20" s="1">
        <v>1178</v>
      </c>
      <c r="P20" s="1">
        <v>1178</v>
      </c>
      <c r="Q20" s="1">
        <v>1176</v>
      </c>
      <c r="R20" s="1">
        <v>1167</v>
      </c>
      <c r="AE20" s="1">
        <v>1180</v>
      </c>
      <c r="AF20" s="1">
        <v>1180</v>
      </c>
    </row>
    <row r="22" spans="1:32" s="3" customFormat="1" x14ac:dyDescent="0.2">
      <c r="A22" s="3" t="s">
        <v>12</v>
      </c>
      <c r="J22" s="3">
        <f t="shared" ref="J22:Q22" si="16">+J9/J5</f>
        <v>0.7102539981185324</v>
      </c>
      <c r="K22" s="3">
        <f t="shared" si="16"/>
        <v>0.71608206485771009</v>
      </c>
      <c r="L22" s="3">
        <f t="shared" si="16"/>
        <v>0.72778925619834711</v>
      </c>
      <c r="M22" s="3">
        <f t="shared" si="16"/>
        <v>0.73249084681705445</v>
      </c>
      <c r="N22" s="3">
        <f t="shared" si="16"/>
        <v>0.71657754010695185</v>
      </c>
      <c r="O22" s="3">
        <f t="shared" si="16"/>
        <v>0.72602243937748823</v>
      </c>
      <c r="P22" s="3">
        <f t="shared" si="16"/>
        <v>0.82609208972845338</v>
      </c>
      <c r="Q22" s="3">
        <f t="shared" si="16"/>
        <v>0.65656996587030714</v>
      </c>
      <c r="R22" s="3">
        <f t="shared" ref="R22" si="17">+R9/R5</f>
        <v>0.73305225784977257</v>
      </c>
      <c r="AE22" s="3">
        <f>+AE9/AE5</f>
        <v>0.72204954016727019</v>
      </c>
      <c r="AF22" s="3">
        <f>+AF9/AF5</f>
        <v>0.72954705056179781</v>
      </c>
    </row>
    <row r="23" spans="1:32" s="3" customFormat="1" x14ac:dyDescent="0.2">
      <c r="A23" s="3" t="s">
        <v>13</v>
      </c>
      <c r="J23" s="3">
        <f t="shared" ref="J23:Q23" si="18">+J14/J5</f>
        <v>0.14420104824620347</v>
      </c>
      <c r="K23" s="3">
        <f t="shared" si="18"/>
        <v>0.17974851091992058</v>
      </c>
      <c r="L23" s="3">
        <f t="shared" si="18"/>
        <v>0.2181043388429752</v>
      </c>
      <c r="M23" s="3">
        <f t="shared" si="18"/>
        <v>0.22404629738986653</v>
      </c>
      <c r="N23" s="3">
        <f t="shared" si="18"/>
        <v>0.18144509389379432</v>
      </c>
      <c r="O23" s="3">
        <f t="shared" si="18"/>
        <v>0.22427313306792135</v>
      </c>
      <c r="P23" s="3">
        <f t="shared" si="18"/>
        <v>0.35064935064935066</v>
      </c>
      <c r="Q23" s="3">
        <f t="shared" si="18"/>
        <v>0.17128839590443687</v>
      </c>
      <c r="R23" s="3">
        <f t="shared" ref="R23" si="19">+R14/R5</f>
        <v>0.25973593697991787</v>
      </c>
      <c r="AE23" s="3">
        <f>+AE14/AE5</f>
        <v>0.19280930560451182</v>
      </c>
      <c r="AF23" s="3">
        <f>+AF14/AF5</f>
        <v>0.23098080524344569</v>
      </c>
    </row>
    <row r="24" spans="1:32" s="3" customFormat="1" x14ac:dyDescent="0.2">
      <c r="A24" s="3" t="s">
        <v>14</v>
      </c>
      <c r="J24" s="3">
        <f t="shared" ref="J24:Q24" si="20">+J18/J5</f>
        <v>9.2460690767369971E-2</v>
      </c>
      <c r="K24" s="3">
        <f t="shared" si="20"/>
        <v>0.10761085373924553</v>
      </c>
      <c r="L24" s="3">
        <f t="shared" si="20"/>
        <v>0.14527376033057851</v>
      </c>
      <c r="M24" s="3">
        <f t="shared" si="20"/>
        <v>0.14101807015471832</v>
      </c>
      <c r="N24" s="3">
        <f t="shared" si="20"/>
        <v>0.19537370973759483</v>
      </c>
      <c r="O24" s="3">
        <f t="shared" si="20"/>
        <v>0.18820123054650742</v>
      </c>
      <c r="P24" s="3">
        <f t="shared" si="20"/>
        <v>0.2667060212514758</v>
      </c>
      <c r="Q24" s="3">
        <f t="shared" si="20"/>
        <v>0.13737201365187712</v>
      </c>
      <c r="R24" s="3">
        <f t="shared" ref="R24" si="21">+R18/R5</f>
        <v>0.19904582270054366</v>
      </c>
      <c r="AE24" s="3">
        <f>+AE18/AE5</f>
        <v>0.12240843400519115</v>
      </c>
      <c r="AF24" s="3">
        <f>+AF18/AF5</f>
        <v>0.1954002808988764</v>
      </c>
    </row>
    <row r="25" spans="1:32" s="3" customFormat="1" x14ac:dyDescent="0.2">
      <c r="A25" s="3" t="s">
        <v>15</v>
      </c>
      <c r="J25" s="3">
        <f t="shared" ref="J25:Q25" si="22">+J17/J16</f>
        <v>0.28482328482328484</v>
      </c>
      <c r="K25" s="3">
        <f t="shared" si="22"/>
        <v>0.31218274111675126</v>
      </c>
      <c r="L25" s="3">
        <f t="shared" si="22"/>
        <v>0.30297397769516726</v>
      </c>
      <c r="M25" s="3">
        <f t="shared" si="22"/>
        <v>0.33777038269550747</v>
      </c>
      <c r="N25" s="3">
        <f t="shared" si="22"/>
        <v>-0.11103253182461104</v>
      </c>
      <c r="O25" s="3">
        <f t="shared" si="22"/>
        <v>0.23114834894036471</v>
      </c>
      <c r="P25" s="3">
        <f t="shared" si="22"/>
        <v>0.23913775682047828</v>
      </c>
      <c r="Q25" s="3">
        <f t="shared" si="22"/>
        <v>0.31489361702127661</v>
      </c>
      <c r="R25" s="3">
        <f t="shared" ref="R25" si="23">+R17/R16</f>
        <v>0.27250608272506083</v>
      </c>
      <c r="AE25" s="3">
        <f>+AE17/AE16</f>
        <v>0.31307318827549002</v>
      </c>
      <c r="AF25" s="3">
        <f>+AF17/AF16</f>
        <v>0.19464544138929088</v>
      </c>
    </row>
    <row r="26" spans="1:32" s="3" customFormat="1" x14ac:dyDescent="0.2"/>
    <row r="27" spans="1:32" s="7" customFormat="1" x14ac:dyDescent="0.2">
      <c r="A27" s="7" t="s">
        <v>16</v>
      </c>
      <c r="J27" s="7" t="e">
        <f t="shared" ref="J27:R27" si="24">+J5/F5-1</f>
        <v>#DIV/0!</v>
      </c>
      <c r="K27" s="7" t="e">
        <f t="shared" si="24"/>
        <v>#DIV/0!</v>
      </c>
      <c r="L27" s="7" t="e">
        <f t="shared" si="24"/>
        <v>#DIV/0!</v>
      </c>
      <c r="M27" s="7" t="e">
        <f t="shared" si="24"/>
        <v>#DIV/0!</v>
      </c>
      <c r="N27" s="7">
        <f t="shared" si="24"/>
        <v>8.0634323343636627E-2</v>
      </c>
      <c r="O27" s="7">
        <f t="shared" si="24"/>
        <v>9.7154202514890819E-2</v>
      </c>
      <c r="P27" s="7">
        <f t="shared" si="24"/>
        <v>9.375E-2</v>
      </c>
      <c r="Q27" s="7">
        <f t="shared" si="24"/>
        <v>0.10735797803236102</v>
      </c>
      <c r="R27" s="7">
        <f t="shared" si="24"/>
        <v>0.12088048750155456</v>
      </c>
      <c r="AE27" s="7" t="e">
        <f>+AE5/F5-1</f>
        <v>#DIV/0!</v>
      </c>
      <c r="AF27" s="7">
        <f>+AF5/AE5-1</f>
        <v>9.513891114173112E-2</v>
      </c>
    </row>
    <row r="29" spans="1:32" x14ac:dyDescent="0.2">
      <c r="A29" s="1" t="s">
        <v>46</v>
      </c>
    </row>
    <row r="30" spans="1:32" x14ac:dyDescent="0.2">
      <c r="A30" s="1" t="s">
        <v>33</v>
      </c>
      <c r="R30" s="1">
        <f>11345+1638+7079</f>
        <v>20062</v>
      </c>
      <c r="AF30" s="1">
        <f>9609+1629+7141</f>
        <v>18379</v>
      </c>
    </row>
    <row r="31" spans="1:32" x14ac:dyDescent="0.2">
      <c r="A31" s="1" t="s">
        <v>47</v>
      </c>
      <c r="R31" s="1">
        <f>7981+117</f>
        <v>8098</v>
      </c>
      <c r="AF31" s="1">
        <f>6774+209</f>
        <v>6983</v>
      </c>
    </row>
    <row r="32" spans="1:32" x14ac:dyDescent="0.2">
      <c r="A32" s="1" t="s">
        <v>48</v>
      </c>
      <c r="R32" s="1">
        <f>2479+3931</f>
        <v>6410</v>
      </c>
      <c r="AF32" s="1">
        <f>2682+3990</f>
        <v>6672</v>
      </c>
    </row>
    <row r="33" spans="1:32" x14ac:dyDescent="0.2">
      <c r="A33" s="1" t="s">
        <v>55</v>
      </c>
      <c r="R33" s="1">
        <f>526+388</f>
        <v>914</v>
      </c>
      <c r="AF33" s="1">
        <f>707+359</f>
        <v>1066</v>
      </c>
    </row>
    <row r="34" spans="1:32" x14ac:dyDescent="0.2">
      <c r="A34" s="1" t="s">
        <v>49</v>
      </c>
      <c r="R34" s="1">
        <f>30304+2507</f>
        <v>32811</v>
      </c>
      <c r="AF34" s="1">
        <f>31147+2706</f>
        <v>33853</v>
      </c>
    </row>
    <row r="35" spans="1:32" x14ac:dyDescent="0.2">
      <c r="A35" s="1" t="s">
        <v>50</v>
      </c>
      <c r="R35" s="1">
        <v>4461</v>
      </c>
      <c r="AF35" s="1">
        <v>4493</v>
      </c>
    </row>
    <row r="36" spans="1:32" x14ac:dyDescent="0.2">
      <c r="A36" s="1" t="s">
        <v>51</v>
      </c>
      <c r="R36" s="1">
        <v>2873</v>
      </c>
      <c r="AF36" s="1">
        <v>2676</v>
      </c>
    </row>
    <row r="37" spans="1:32" s="6" customFormat="1" x14ac:dyDescent="0.2">
      <c r="A37" s="6" t="s">
        <v>52</v>
      </c>
      <c r="R37" s="6">
        <f>+SUM(R30:R36)</f>
        <v>75629</v>
      </c>
      <c r="AF37" s="6">
        <f>+SUM(AF30:AF36)</f>
        <v>74122</v>
      </c>
    </row>
    <row r="38" spans="1:32" x14ac:dyDescent="0.2">
      <c r="A38" s="1" t="s">
        <v>53</v>
      </c>
      <c r="R38" s="1">
        <f>2210+6</f>
        <v>2216</v>
      </c>
      <c r="AF38" s="1">
        <f>1990+10</f>
        <v>2000</v>
      </c>
    </row>
    <row r="39" spans="1:32" x14ac:dyDescent="0.2">
      <c r="A39" s="1" t="s">
        <v>54</v>
      </c>
      <c r="R39" s="1">
        <f>929+550</f>
        <v>1479</v>
      </c>
      <c r="AF39" s="1">
        <f>585+509</f>
        <v>1094</v>
      </c>
    </row>
    <row r="40" spans="1:32" x14ac:dyDescent="0.2">
      <c r="A40" s="1" t="s">
        <v>34</v>
      </c>
      <c r="R40" s="1">
        <f>3406+6701</f>
        <v>10107</v>
      </c>
      <c r="AF40" s="1">
        <f>4277+7169</f>
        <v>11446</v>
      </c>
    </row>
    <row r="41" spans="1:32" x14ac:dyDescent="0.2">
      <c r="A41" s="1" t="s">
        <v>56</v>
      </c>
      <c r="R41" s="1">
        <f>4291+853</f>
        <v>5144</v>
      </c>
      <c r="AF41" s="1">
        <f>5533+749</f>
        <v>6282</v>
      </c>
    </row>
    <row r="42" spans="1:32" x14ac:dyDescent="0.2">
      <c r="A42" s="1" t="s">
        <v>57</v>
      </c>
      <c r="R42" s="1">
        <f>502+476</f>
        <v>978</v>
      </c>
      <c r="AF42" s="1">
        <f>716+494</f>
        <v>1210</v>
      </c>
    </row>
    <row r="43" spans="1:32" x14ac:dyDescent="0.2">
      <c r="A43" s="1" t="s">
        <v>51</v>
      </c>
      <c r="R43" s="1">
        <v>309</v>
      </c>
      <c r="AF43" s="1">
        <v>215</v>
      </c>
    </row>
    <row r="44" spans="1:32" x14ac:dyDescent="0.2">
      <c r="A44" s="1" t="s">
        <v>58</v>
      </c>
      <c r="R44" s="1">
        <f>9211+99</f>
        <v>9310</v>
      </c>
      <c r="AF44" s="1">
        <f>5978+88</f>
        <v>6066</v>
      </c>
    </row>
    <row r="45" spans="1:32" s="6" customFormat="1" x14ac:dyDescent="0.2">
      <c r="A45" s="6" t="s">
        <v>59</v>
      </c>
      <c r="R45" s="6">
        <f>+SUM(R38:R44)</f>
        <v>29543</v>
      </c>
      <c r="AF45" s="6">
        <f>+SUM(AF38:AF44)</f>
        <v>28313</v>
      </c>
    </row>
    <row r="46" spans="1:32" x14ac:dyDescent="0.2">
      <c r="A46" s="1" t="s">
        <v>60</v>
      </c>
      <c r="R46" s="1">
        <v>46086</v>
      </c>
      <c r="AF46" s="1">
        <v>45808</v>
      </c>
    </row>
    <row r="47" spans="1:32" x14ac:dyDescent="0.2">
      <c r="A47" s="1" t="s">
        <v>61</v>
      </c>
      <c r="R47" s="1">
        <f>+R46+R45</f>
        <v>75629</v>
      </c>
      <c r="AF47" s="1">
        <f>+AF46+AF45</f>
        <v>74121</v>
      </c>
    </row>
    <row r="49" spans="1:33" x14ac:dyDescent="0.2">
      <c r="A49" s="1" t="s">
        <v>62</v>
      </c>
      <c r="R49" s="1">
        <f>+SUM(O18:R18)</f>
        <v>6901</v>
      </c>
      <c r="AF49" s="1">
        <f>+AF18</f>
        <v>6678</v>
      </c>
    </row>
    <row r="50" spans="1:33" s="3" customFormat="1" x14ac:dyDescent="0.2">
      <c r="A50" s="3" t="s">
        <v>63</v>
      </c>
      <c r="R50" s="3">
        <f>+R49/(R31+R32+R33+R35+R36)</f>
        <v>0.30326067850237298</v>
      </c>
      <c r="AF50" s="3">
        <f>+AF49/(AF31+AF32+AF33+AF35+AF36)</f>
        <v>0.30507080858839652</v>
      </c>
    </row>
    <row r="52" spans="1:33" x14ac:dyDescent="0.2">
      <c r="A52" s="1" t="s">
        <v>64</v>
      </c>
      <c r="J52" s="1">
        <v>2373</v>
      </c>
      <c r="K52" s="1">
        <f>3240-J52</f>
        <v>867</v>
      </c>
      <c r="L52" s="1">
        <f>4364-SUM(J52:K52)</f>
        <v>1124</v>
      </c>
      <c r="M52" s="1">
        <f>+AE52-SUM(J52:L52)</f>
        <v>1846</v>
      </c>
      <c r="N52" s="1">
        <v>2757</v>
      </c>
      <c r="O52" s="1">
        <f>4297-N52</f>
        <v>1540</v>
      </c>
      <c r="P52" s="1">
        <f>5772-SUM(N52:O52)</f>
        <v>1475</v>
      </c>
      <c r="Q52" s="1">
        <f>+AF52-SUM(N52:P52)</f>
        <v>-552</v>
      </c>
      <c r="R52" s="1">
        <v>3780</v>
      </c>
      <c r="AE52" s="1">
        <v>6210</v>
      </c>
      <c r="AF52" s="1">
        <v>5220</v>
      </c>
    </row>
    <row r="53" spans="1:33" x14ac:dyDescent="0.2">
      <c r="A53" s="1" t="s">
        <v>65</v>
      </c>
      <c r="J53" s="1">
        <f>-257+24</f>
        <v>-233</v>
      </c>
      <c r="K53" s="1">
        <f>-413+43-J53</f>
        <v>-137</v>
      </c>
      <c r="L53" s="1">
        <f>-595+72-SUM(J53:K53)</f>
        <v>-153</v>
      </c>
      <c r="M53" s="1">
        <f>+AE53-SUM(J53:L53)</f>
        <v>-163</v>
      </c>
      <c r="N53" s="1">
        <f>-187+27</f>
        <v>-160</v>
      </c>
      <c r="O53" s="1">
        <f>+-365+55-N53</f>
        <v>-150</v>
      </c>
      <c r="P53" s="1">
        <f>-528+80-SUM(N53:O53)</f>
        <v>-138</v>
      </c>
      <c r="Q53" s="1">
        <f>+AF53-SUM(N53:P53)</f>
        <v>-227</v>
      </c>
      <c r="R53" s="1">
        <f>-168+38</f>
        <v>-130</v>
      </c>
      <c r="AE53" s="1">
        <f>-785+99</f>
        <v>-686</v>
      </c>
      <c r="AF53" s="1">
        <f>-797+122</f>
        <v>-675</v>
      </c>
    </row>
    <row r="54" spans="1:33" s="6" customFormat="1" x14ac:dyDescent="0.2">
      <c r="A54" s="6" t="s">
        <v>66</v>
      </c>
      <c r="J54" s="6">
        <f t="shared" ref="J54:M54" si="25">+J52+J53</f>
        <v>2140</v>
      </c>
      <c r="K54" s="6">
        <f t="shared" si="25"/>
        <v>730</v>
      </c>
      <c r="L54" s="6">
        <f t="shared" si="25"/>
        <v>971</v>
      </c>
      <c r="M54" s="6">
        <f t="shared" si="25"/>
        <v>1683</v>
      </c>
      <c r="N54" s="6">
        <f>+N52+N53</f>
        <v>2597</v>
      </c>
      <c r="O54" s="6">
        <f t="shared" ref="O54:Q54" si="26">+O52+O53</f>
        <v>1390</v>
      </c>
      <c r="P54" s="6">
        <f t="shared" si="26"/>
        <v>1337</v>
      </c>
      <c r="Q54" s="6">
        <f t="shared" si="26"/>
        <v>-779</v>
      </c>
      <c r="R54" s="6">
        <f t="shared" ref="R54" si="27">+R52+R53</f>
        <v>3650</v>
      </c>
      <c r="AE54" s="6">
        <f>+AE52+AE53</f>
        <v>5524</v>
      </c>
      <c r="AF54" s="6">
        <f>+AF52+AF53</f>
        <v>4545</v>
      </c>
      <c r="AG54" s="6">
        <v>8000</v>
      </c>
    </row>
    <row r="55" spans="1:33" x14ac:dyDescent="0.2">
      <c r="A55" s="1" t="s">
        <v>67</v>
      </c>
      <c r="M55" s="1">
        <f t="shared" ref="M55:P55" si="28">+SUM(J54:M54)</f>
        <v>5524</v>
      </c>
      <c r="N55" s="1">
        <f t="shared" si="28"/>
        <v>5981</v>
      </c>
      <c r="O55" s="1">
        <f t="shared" si="28"/>
        <v>6641</v>
      </c>
      <c r="P55" s="1">
        <f t="shared" si="28"/>
        <v>7007</v>
      </c>
      <c r="Q55" s="1">
        <f>+SUM(N54:Q54)</f>
        <v>4545</v>
      </c>
      <c r="R55" s="1">
        <f>+SUM(O54:R54)</f>
        <v>5598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2025-04-22T09:38:35Z</dcterms:created>
  <dcterms:modified xsi:type="dcterms:W3CDTF">2025-04-23T12:00:06Z</dcterms:modified>
</cp:coreProperties>
</file>