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"/>
    </mc:Choice>
  </mc:AlternateContent>
  <xr:revisionPtr revIDLastSave="0" documentId="13_ncr:1_{7308C7C5-463C-4701-B45A-6E903D9085B2}" xr6:coauthVersionLast="47" xr6:coauthVersionMax="47" xr10:uidLastSave="{00000000-0000-0000-0000-000000000000}"/>
  <bookViews>
    <workbookView xWindow="195" yWindow="105" windowWidth="14070" windowHeight="15300" activeTab="1" xr2:uid="{04E56219-E48A-4DAD-BFCB-49D78297CA4F}"/>
  </bookViews>
  <sheets>
    <sheet name="Main" sheetId="1" r:id="rId1"/>
    <sheet name="Model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3" l="1"/>
  <c r="I11" i="3"/>
  <c r="M6" i="3"/>
  <c r="M11" i="3"/>
  <c r="AK48" i="2"/>
  <c r="AL48" i="2" s="1"/>
  <c r="AM48" i="2" s="1"/>
  <c r="AN48" i="2" s="1"/>
  <c r="AO48" i="2" s="1"/>
  <c r="AP48" i="2" s="1"/>
  <c r="AQ48" i="2" s="1"/>
  <c r="AR48" i="2" s="1"/>
  <c r="AS48" i="2" s="1"/>
  <c r="AT48" i="2" s="1"/>
  <c r="AU48" i="2" s="1"/>
  <c r="AV48" i="2" s="1"/>
  <c r="AJ48" i="2"/>
  <c r="AI48" i="2"/>
  <c r="AH48" i="2"/>
  <c r="AG48" i="2"/>
  <c r="O48" i="2"/>
  <c r="AY67" i="2"/>
  <c r="AI61" i="2"/>
  <c r="AJ61" i="2" s="1"/>
  <c r="AK61" i="2" s="1"/>
  <c r="AL61" i="2" s="1"/>
  <c r="AM61" i="2" s="1"/>
  <c r="AN61" i="2" s="1"/>
  <c r="AO61" i="2" s="1"/>
  <c r="AP61" i="2" s="1"/>
  <c r="AQ61" i="2" s="1"/>
  <c r="AR61" i="2" s="1"/>
  <c r="AS61" i="2" s="1"/>
  <c r="AT61" i="2" s="1"/>
  <c r="AU61" i="2" s="1"/>
  <c r="AV61" i="2" s="1"/>
  <c r="AH61" i="2"/>
  <c r="AH56" i="2"/>
  <c r="AH67" i="2" l="1"/>
  <c r="AG70" i="2" l="1"/>
  <c r="AI52" i="2"/>
  <c r="AJ52" i="2" s="1"/>
  <c r="AK52" i="2" s="1"/>
  <c r="AL52" i="2" s="1"/>
  <c r="AM52" i="2" s="1"/>
  <c r="AN52" i="2" s="1"/>
  <c r="AO52" i="2" s="1"/>
  <c r="AP52" i="2" s="1"/>
  <c r="AQ52" i="2" s="1"/>
  <c r="AR52" i="2" s="1"/>
  <c r="AS52" i="2" s="1"/>
  <c r="AT52" i="2" s="1"/>
  <c r="AU52" i="2" s="1"/>
  <c r="AV52" i="2" s="1"/>
  <c r="AI51" i="2"/>
  <c r="AJ51" i="2" s="1"/>
  <c r="AK51" i="2" s="1"/>
  <c r="AL51" i="2" s="1"/>
  <c r="AM51" i="2" s="1"/>
  <c r="AN51" i="2" s="1"/>
  <c r="AO51" i="2" s="1"/>
  <c r="AP51" i="2" s="1"/>
  <c r="AQ51" i="2" s="1"/>
  <c r="AR51" i="2" s="1"/>
  <c r="AS51" i="2" s="1"/>
  <c r="AT51" i="2" s="1"/>
  <c r="AU51" i="2" s="1"/>
  <c r="AV51" i="2" s="1"/>
  <c r="AI50" i="2"/>
  <c r="AJ50" i="2" s="1"/>
  <c r="AK50" i="2" s="1"/>
  <c r="AL50" i="2" s="1"/>
  <c r="AM50" i="2" s="1"/>
  <c r="AN50" i="2" s="1"/>
  <c r="AO50" i="2" s="1"/>
  <c r="AP50" i="2" s="1"/>
  <c r="AQ50" i="2" s="1"/>
  <c r="AR50" i="2" s="1"/>
  <c r="AS50" i="2" s="1"/>
  <c r="AT50" i="2" s="1"/>
  <c r="AU50" i="2" s="1"/>
  <c r="AV50" i="2" s="1"/>
  <c r="AI49" i="2"/>
  <c r="AI53" i="2" s="1"/>
  <c r="AH53" i="2"/>
  <c r="AH54" i="2" s="1"/>
  <c r="AH52" i="2"/>
  <c r="AH51" i="2"/>
  <c r="AH50" i="2"/>
  <c r="AH49" i="2"/>
  <c r="AF13" i="2"/>
  <c r="AF8" i="2"/>
  <c r="AG13" i="2"/>
  <c r="AG8" i="2"/>
  <c r="AG15" i="2" s="1"/>
  <c r="Q52" i="2"/>
  <c r="Q51" i="2"/>
  <c r="Q50" i="2"/>
  <c r="Q49" i="2"/>
  <c r="Q47" i="2"/>
  <c r="Q46" i="2"/>
  <c r="Q45" i="2"/>
  <c r="AH57" i="2" l="1"/>
  <c r="AH63" i="2"/>
  <c r="AJ49" i="2"/>
  <c r="AC101" i="2"/>
  <c r="AC117" i="2"/>
  <c r="AD117" i="2"/>
  <c r="AD101" i="2"/>
  <c r="AE101" i="2"/>
  <c r="AE117" i="2"/>
  <c r="AF101" i="2"/>
  <c r="AF117" i="2"/>
  <c r="AG117" i="2"/>
  <c r="AG101" i="2"/>
  <c r="AC14" i="2"/>
  <c r="AB14" i="2"/>
  <c r="AC9" i="2"/>
  <c r="AB9" i="2"/>
  <c r="AA14" i="2"/>
  <c r="AA9" i="2"/>
  <c r="Z14" i="2"/>
  <c r="Z9" i="2"/>
  <c r="Y14" i="2"/>
  <c r="X14" i="2"/>
  <c r="Y9" i="2"/>
  <c r="X9" i="2"/>
  <c r="W14" i="2"/>
  <c r="V14" i="2"/>
  <c r="W9" i="2"/>
  <c r="V9" i="2"/>
  <c r="U14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27" i="2"/>
  <c r="T23" i="2"/>
  <c r="T9" i="2"/>
  <c r="T26" i="2" s="1"/>
  <c r="U9" i="2"/>
  <c r="S48" i="2"/>
  <c r="AJ53" i="2" l="1"/>
  <c r="AK49" i="2"/>
  <c r="AC118" i="2"/>
  <c r="AC137" i="2" s="1"/>
  <c r="AG118" i="2"/>
  <c r="AF118" i="2"/>
  <c r="AD118" i="2"/>
  <c r="AD137" i="2" s="1"/>
  <c r="AE118" i="2"/>
  <c r="AE137" i="2" s="1"/>
  <c r="AG137" i="2"/>
  <c r="AF137" i="2"/>
  <c r="T16" i="2"/>
  <c r="T28" i="2" s="1"/>
  <c r="AC22" i="2"/>
  <c r="AC21" i="2"/>
  <c r="AC16" i="2"/>
  <c r="Z22" i="2"/>
  <c r="Z21" i="2"/>
  <c r="Z16" i="2"/>
  <c r="AG22" i="2"/>
  <c r="AF22" i="2"/>
  <c r="AG21" i="2"/>
  <c r="AF21" i="2"/>
  <c r="AG16" i="2"/>
  <c r="AG37" i="2" s="1"/>
  <c r="AF16" i="2"/>
  <c r="AK53" i="2" l="1"/>
  <c r="AL49" i="2"/>
  <c r="AG41" i="2" a="1"/>
  <c r="AG41" i="2" s="1"/>
  <c r="AG42" i="2" s="1"/>
  <c r="AG23" i="2"/>
  <c r="Z23" i="2"/>
  <c r="Z28" i="2" s="1"/>
  <c r="AF39" i="2"/>
  <c r="AF37" i="2"/>
  <c r="AG39" i="2"/>
  <c r="AF23" i="2"/>
  <c r="AF28" i="2" s="1"/>
  <c r="AC37" i="2"/>
  <c r="AC41" i="2" s="1"/>
  <c r="AC39" i="2"/>
  <c r="Z37" i="2"/>
  <c r="Z41" i="2" s="1"/>
  <c r="Z39" i="2"/>
  <c r="AG33" i="2"/>
  <c r="AC33" i="2"/>
  <c r="AF33" i="2"/>
  <c r="AC23" i="2"/>
  <c r="AC28" i="2" s="1"/>
  <c r="Z33" i="2"/>
  <c r="AG28" i="2"/>
  <c r="AG20" i="2"/>
  <c r="AE22" i="2"/>
  <c r="AD22" i="2"/>
  <c r="AE21" i="2"/>
  <c r="AD21" i="2"/>
  <c r="AD20" i="2" s="1"/>
  <c r="AE16" i="2"/>
  <c r="AD16" i="2"/>
  <c r="AB22" i="2"/>
  <c r="AA22" i="2"/>
  <c r="AB21" i="2"/>
  <c r="AA21" i="2"/>
  <c r="AB16" i="2"/>
  <c r="AA16" i="2"/>
  <c r="Y22" i="2"/>
  <c r="X22" i="2"/>
  <c r="Y21" i="2"/>
  <c r="X21" i="2"/>
  <c r="Y16" i="2"/>
  <c r="X16" i="2"/>
  <c r="W22" i="2"/>
  <c r="W21" i="2"/>
  <c r="W16" i="2"/>
  <c r="V16" i="2"/>
  <c r="V22" i="2"/>
  <c r="V21" i="2"/>
  <c r="V20" i="2" s="1"/>
  <c r="U27" i="2"/>
  <c r="U26" i="2"/>
  <c r="U23" i="2"/>
  <c r="U16" i="2"/>
  <c r="S53" i="2"/>
  <c r="S67" i="2"/>
  <c r="T53" i="2"/>
  <c r="T48" i="2"/>
  <c r="U53" i="2"/>
  <c r="U48" i="2"/>
  <c r="V53" i="2"/>
  <c r="V48" i="2"/>
  <c r="W53" i="2"/>
  <c r="W48" i="2"/>
  <c r="X53" i="2"/>
  <c r="X48" i="2"/>
  <c r="Y53" i="2"/>
  <c r="Y48" i="2"/>
  <c r="Z53" i="2"/>
  <c r="Z48" i="2"/>
  <c r="AA53" i="2"/>
  <c r="AA48" i="2"/>
  <c r="AB53" i="2"/>
  <c r="AB48" i="2"/>
  <c r="AC53" i="2"/>
  <c r="AC48" i="2"/>
  <c r="AD53" i="2"/>
  <c r="AD48" i="2"/>
  <c r="AE53" i="2"/>
  <c r="AE48" i="2"/>
  <c r="AG53" i="2"/>
  <c r="AF53" i="2"/>
  <c r="I53" i="2"/>
  <c r="N53" i="2"/>
  <c r="M53" i="2"/>
  <c r="L53" i="2"/>
  <c r="K53" i="2"/>
  <c r="J53" i="2"/>
  <c r="H53" i="2"/>
  <c r="G53" i="2"/>
  <c r="F53" i="2"/>
  <c r="E53" i="2"/>
  <c r="D53" i="2"/>
  <c r="C53" i="2"/>
  <c r="B53" i="2"/>
  <c r="AF48" i="2"/>
  <c r="L117" i="2"/>
  <c r="H117" i="2"/>
  <c r="K112" i="2"/>
  <c r="J122" i="2"/>
  <c r="K122" i="2" s="1"/>
  <c r="I134" i="2"/>
  <c r="J134" i="2" s="1"/>
  <c r="I131" i="2"/>
  <c r="J131" i="2" s="1"/>
  <c r="I130" i="2"/>
  <c r="J130" i="2" s="1"/>
  <c r="I129" i="2"/>
  <c r="J129" i="2" s="1"/>
  <c r="I128" i="2"/>
  <c r="I127" i="2"/>
  <c r="J127" i="2" s="1"/>
  <c r="K127" i="2" s="1"/>
  <c r="I126" i="2"/>
  <c r="I123" i="2"/>
  <c r="J123" i="2" s="1"/>
  <c r="I121" i="2"/>
  <c r="J121" i="2" s="1"/>
  <c r="K121" i="2" s="1"/>
  <c r="I113" i="2"/>
  <c r="J113" i="2" s="1"/>
  <c r="I116" i="2"/>
  <c r="I115" i="2"/>
  <c r="I114" i="2"/>
  <c r="I110" i="2"/>
  <c r="I109" i="2"/>
  <c r="I108" i="2"/>
  <c r="I107" i="2"/>
  <c r="I106" i="2"/>
  <c r="J106" i="2" s="1"/>
  <c r="K106" i="2" s="1"/>
  <c r="I104" i="2"/>
  <c r="J104" i="2" s="1"/>
  <c r="I102" i="2"/>
  <c r="J102" i="2" s="1"/>
  <c r="K102" i="2" s="1"/>
  <c r="I100" i="2"/>
  <c r="I99" i="2"/>
  <c r="I98" i="2"/>
  <c r="J98" i="2" s="1"/>
  <c r="K98" i="2" s="1"/>
  <c r="H132" i="2"/>
  <c r="H120" i="2"/>
  <c r="H124" i="2" s="1"/>
  <c r="H101" i="2"/>
  <c r="I101" i="2" s="1"/>
  <c r="F16" i="2"/>
  <c r="F37" i="2" s="1"/>
  <c r="F36" i="2"/>
  <c r="J36" i="2"/>
  <c r="G36" i="2"/>
  <c r="K36" i="2"/>
  <c r="H36" i="2"/>
  <c r="L36" i="2"/>
  <c r="I36" i="2"/>
  <c r="N36" i="2"/>
  <c r="M36" i="2"/>
  <c r="K27" i="2"/>
  <c r="J27" i="2"/>
  <c r="I27" i="2"/>
  <c r="H27" i="2"/>
  <c r="G27" i="2"/>
  <c r="K26" i="2"/>
  <c r="J26" i="2"/>
  <c r="I26" i="2"/>
  <c r="H26" i="2"/>
  <c r="G26" i="2"/>
  <c r="G23" i="2"/>
  <c r="G20" i="2"/>
  <c r="G16" i="2"/>
  <c r="G37" i="2" s="1"/>
  <c r="K23" i="2"/>
  <c r="K20" i="2"/>
  <c r="K16" i="2"/>
  <c r="AL53" i="2" l="1"/>
  <c r="AM49" i="2"/>
  <c r="Q48" i="2"/>
  <c r="AG38" i="2"/>
  <c r="AF41" i="2" a="1"/>
  <c r="AF41" i="2" s="1"/>
  <c r="AF42" i="2" s="1"/>
  <c r="AG43" i="2" s="1"/>
  <c r="AD23" i="2"/>
  <c r="AD28" i="2" s="1"/>
  <c r="W20" i="2"/>
  <c r="AD39" i="2"/>
  <c r="AD37" i="2"/>
  <c r="Y23" i="2"/>
  <c r="Y28" i="2" s="1"/>
  <c r="AE39" i="2"/>
  <c r="AE37" i="2"/>
  <c r="AE41" i="2" s="1"/>
  <c r="AB37" i="2"/>
  <c r="AB41" i="2" s="1"/>
  <c r="AB39" i="2"/>
  <c r="AA39" i="2"/>
  <c r="AA37" i="2"/>
  <c r="X23" i="2"/>
  <c r="X28" i="2" s="1"/>
  <c r="Y37" i="2"/>
  <c r="Y41" i="2" s="1"/>
  <c r="Y39" i="2"/>
  <c r="X39" i="2"/>
  <c r="X37" i="2"/>
  <c r="X41" i="2" s="1"/>
  <c r="W39" i="2"/>
  <c r="W37" i="2"/>
  <c r="W41" i="2" s="1"/>
  <c r="V39" i="2"/>
  <c r="V37" i="2"/>
  <c r="V41" i="2" s="1"/>
  <c r="V23" i="2"/>
  <c r="V28" i="2" s="1"/>
  <c r="U39" i="2"/>
  <c r="U37" i="2"/>
  <c r="U41" i="2" s="1"/>
  <c r="U33" i="2"/>
  <c r="X33" i="2"/>
  <c r="AE33" i="2"/>
  <c r="Y33" i="2"/>
  <c r="V33" i="2"/>
  <c r="AA33" i="2"/>
  <c r="K33" i="2"/>
  <c r="K37" i="2"/>
  <c r="W33" i="2"/>
  <c r="AB33" i="2"/>
  <c r="W23" i="2"/>
  <c r="W28" i="2" s="1"/>
  <c r="AD33" i="2"/>
  <c r="AE23" i="2"/>
  <c r="AE28" i="2" s="1"/>
  <c r="AF20" i="2"/>
  <c r="AE20" i="2"/>
  <c r="AB23" i="2"/>
  <c r="AB28" i="2" s="1"/>
  <c r="AC20" i="2"/>
  <c r="AA23" i="2"/>
  <c r="AA28" i="2" s="1"/>
  <c r="AB20" i="2"/>
  <c r="AA20" i="2"/>
  <c r="Z20" i="2"/>
  <c r="Y20" i="2"/>
  <c r="X20" i="2"/>
  <c r="U28" i="2"/>
  <c r="S54" i="2"/>
  <c r="T67" i="2"/>
  <c r="U67" i="2"/>
  <c r="T54" i="2"/>
  <c r="AG67" i="2"/>
  <c r="V67" i="2"/>
  <c r="U54" i="2"/>
  <c r="V54" i="2"/>
  <c r="W67" i="2"/>
  <c r="W54" i="2"/>
  <c r="X67" i="2"/>
  <c r="AF54" i="2"/>
  <c r="AG54" i="2"/>
  <c r="X54" i="2"/>
  <c r="Y67" i="2"/>
  <c r="Y54" i="2"/>
  <c r="Z67" i="2"/>
  <c r="AA67" i="2"/>
  <c r="Z54" i="2"/>
  <c r="AA54" i="2"/>
  <c r="AB67" i="2"/>
  <c r="AB54" i="2"/>
  <c r="AC67" i="2"/>
  <c r="AC54" i="2"/>
  <c r="AD67" i="2"/>
  <c r="AD54" i="2"/>
  <c r="AE67" i="2"/>
  <c r="AE54" i="2"/>
  <c r="AF67" i="2"/>
  <c r="I117" i="2"/>
  <c r="J126" i="2"/>
  <c r="K126" i="2" s="1"/>
  <c r="K113" i="2"/>
  <c r="K123" i="2"/>
  <c r="J107" i="2"/>
  <c r="K107" i="2" s="1"/>
  <c r="J108" i="2"/>
  <c r="K108" i="2" s="1"/>
  <c r="J109" i="2"/>
  <c r="J128" i="2"/>
  <c r="K128" i="2" s="1"/>
  <c r="K129" i="2"/>
  <c r="K130" i="2"/>
  <c r="K131" i="2"/>
  <c r="G28" i="2"/>
  <c r="J110" i="2"/>
  <c r="K110" i="2" s="1"/>
  <c r="J114" i="2"/>
  <c r="K114" i="2" s="1"/>
  <c r="K134" i="2"/>
  <c r="J99" i="2"/>
  <c r="K99" i="2" s="1"/>
  <c r="J115" i="2"/>
  <c r="K115" i="2" s="1"/>
  <c r="K104" i="2"/>
  <c r="I118" i="2"/>
  <c r="I137" i="2" s="1"/>
  <c r="J100" i="2"/>
  <c r="K100" i="2" s="1"/>
  <c r="J116" i="2"/>
  <c r="K116" i="2" s="1"/>
  <c r="G25" i="2"/>
  <c r="J101" i="2"/>
  <c r="K101" i="2" s="1"/>
  <c r="K25" i="2"/>
  <c r="I132" i="2"/>
  <c r="H118" i="2"/>
  <c r="H137" i="2" s="1"/>
  <c r="G33" i="2"/>
  <c r="K28" i="2"/>
  <c r="I120" i="2"/>
  <c r="I124" i="2" s="1"/>
  <c r="J23" i="2"/>
  <c r="J20" i="2"/>
  <c r="J16" i="2"/>
  <c r="J37" i="2" s="1"/>
  <c r="N27" i="2"/>
  <c r="N26" i="2"/>
  <c r="N23" i="2"/>
  <c r="N20" i="2"/>
  <c r="N16" i="2"/>
  <c r="N37" i="2" s="1"/>
  <c r="I20" i="2"/>
  <c r="I23" i="2"/>
  <c r="I16" i="2"/>
  <c r="I37" i="2" s="1"/>
  <c r="M27" i="2"/>
  <c r="M26" i="2"/>
  <c r="M23" i="2"/>
  <c r="M20" i="2"/>
  <c r="M16" i="2"/>
  <c r="M37" i="2" s="1"/>
  <c r="H23" i="2"/>
  <c r="H16" i="2"/>
  <c r="H37" i="2" s="1"/>
  <c r="L26" i="2"/>
  <c r="L27" i="2"/>
  <c r="L23" i="2"/>
  <c r="L16" i="2"/>
  <c r="L37" i="2" s="1"/>
  <c r="H20" i="2"/>
  <c r="L20" i="2"/>
  <c r="M134" i="2"/>
  <c r="N134" i="2" s="1"/>
  <c r="M131" i="2"/>
  <c r="N131" i="2" s="1"/>
  <c r="M130" i="2"/>
  <c r="N130" i="2" s="1"/>
  <c r="M129" i="2"/>
  <c r="N129" i="2" s="1"/>
  <c r="M128" i="2"/>
  <c r="N128" i="2" s="1"/>
  <c r="M127" i="2"/>
  <c r="N127" i="2" s="1"/>
  <c r="M123" i="2"/>
  <c r="N123" i="2" s="1"/>
  <c r="M121" i="2"/>
  <c r="N121" i="2" s="1"/>
  <c r="M116" i="2"/>
  <c r="N116" i="2" s="1"/>
  <c r="M115" i="2"/>
  <c r="M114" i="2"/>
  <c r="N114" i="2" s="1"/>
  <c r="M113" i="2"/>
  <c r="N113" i="2" s="1"/>
  <c r="M112" i="2"/>
  <c r="N112" i="2" s="1"/>
  <c r="M110" i="2"/>
  <c r="N110" i="2" s="1"/>
  <c r="M109" i="2"/>
  <c r="M108" i="2"/>
  <c r="N108" i="2" s="1"/>
  <c r="M107" i="2"/>
  <c r="N107" i="2" s="1"/>
  <c r="M106" i="2"/>
  <c r="N106" i="2" s="1"/>
  <c r="M104" i="2"/>
  <c r="N104" i="2" s="1"/>
  <c r="M102" i="2"/>
  <c r="N102" i="2" s="1"/>
  <c r="M101" i="2"/>
  <c r="N101" i="2" s="1"/>
  <c r="M100" i="2"/>
  <c r="N100" i="2" s="1"/>
  <c r="M99" i="2"/>
  <c r="N99" i="2" s="1"/>
  <c r="M98" i="2"/>
  <c r="N98" i="2" s="1"/>
  <c r="L126" i="2"/>
  <c r="L132" i="2" s="1"/>
  <c r="L120" i="2"/>
  <c r="L124" i="2" s="1"/>
  <c r="L118" i="2"/>
  <c r="L137" i="2" s="1"/>
  <c r="L86" i="2"/>
  <c r="L90" i="2" s="1"/>
  <c r="L79" i="2"/>
  <c r="L71" i="2"/>
  <c r="M86" i="2"/>
  <c r="M90" i="2" s="1"/>
  <c r="N86" i="2"/>
  <c r="N90" i="2" s="1"/>
  <c r="N79" i="2"/>
  <c r="N71" i="2"/>
  <c r="N48" i="2"/>
  <c r="N54" i="2" s="1"/>
  <c r="M48" i="2"/>
  <c r="M54" i="2" s="1"/>
  <c r="Y3" i="2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AO3" i="2" s="1"/>
  <c r="AP3" i="2" s="1"/>
  <c r="AQ3" i="2" s="1"/>
  <c r="AR3" i="2" s="1"/>
  <c r="AS3" i="2" s="1"/>
  <c r="AT3" i="2" s="1"/>
  <c r="AU3" i="2" s="1"/>
  <c r="AV3" i="2" s="1"/>
  <c r="M79" i="2"/>
  <c r="M71" i="2"/>
  <c r="B48" i="2"/>
  <c r="B54" i="2" s="1"/>
  <c r="C48" i="2"/>
  <c r="C54" i="2" s="1"/>
  <c r="D48" i="2"/>
  <c r="D54" i="2" s="1"/>
  <c r="E48" i="2"/>
  <c r="E54" i="2" s="1"/>
  <c r="F48" i="2"/>
  <c r="F54" i="2" s="1"/>
  <c r="J48" i="2"/>
  <c r="J54" i="2" s="1"/>
  <c r="G48" i="2"/>
  <c r="G54" i="2" s="1"/>
  <c r="K48" i="2"/>
  <c r="K54" i="2" s="1"/>
  <c r="H48" i="2"/>
  <c r="H54" i="2" s="1"/>
  <c r="L48" i="2"/>
  <c r="L54" i="2" s="1"/>
  <c r="I48" i="2"/>
  <c r="I54" i="2" s="1"/>
  <c r="K7" i="1"/>
  <c r="K6" i="1"/>
  <c r="K5" i="1"/>
  <c r="K8" i="1" s="1"/>
  <c r="K10" i="1" s="1"/>
  <c r="AI67" i="2" l="1"/>
  <c r="AI54" i="2"/>
  <c r="AI63" i="2" s="1"/>
  <c r="AN49" i="2"/>
  <c r="AM53" i="2"/>
  <c r="AD38" i="2"/>
  <c r="AD41" i="2"/>
  <c r="AA38" i="2"/>
  <c r="AA41" i="2"/>
  <c r="AE38" i="2"/>
  <c r="V38" i="2"/>
  <c r="AB38" i="2"/>
  <c r="W38" i="2"/>
  <c r="X38" i="2"/>
  <c r="AF38" i="2"/>
  <c r="Y38" i="2"/>
  <c r="AC38" i="2"/>
  <c r="Z38" i="2"/>
  <c r="S63" i="2"/>
  <c r="S57" i="2"/>
  <c r="T63" i="2"/>
  <c r="T57" i="2"/>
  <c r="U63" i="2"/>
  <c r="U57" i="2"/>
  <c r="V63" i="2"/>
  <c r="V57" i="2"/>
  <c r="W63" i="2"/>
  <c r="W57" i="2"/>
  <c r="X63" i="2"/>
  <c r="X57" i="2"/>
  <c r="Y63" i="2"/>
  <c r="Y57" i="2"/>
  <c r="Z63" i="2"/>
  <c r="Z57" i="2"/>
  <c r="AA63" i="2"/>
  <c r="AA57" i="2"/>
  <c r="AB63" i="2"/>
  <c r="AB57" i="2"/>
  <c r="AC63" i="2"/>
  <c r="AC57" i="2"/>
  <c r="AD63" i="2"/>
  <c r="AD57" i="2"/>
  <c r="AE63" i="2"/>
  <c r="AE57" i="2"/>
  <c r="J132" i="2"/>
  <c r="K132" i="2"/>
  <c r="H135" i="2"/>
  <c r="J117" i="2"/>
  <c r="L28" i="2"/>
  <c r="J25" i="2"/>
  <c r="N109" i="2"/>
  <c r="M117" i="2"/>
  <c r="L25" i="2"/>
  <c r="J120" i="2"/>
  <c r="J124" i="2" s="1"/>
  <c r="K109" i="2"/>
  <c r="K117" i="2" s="1"/>
  <c r="J118" i="2"/>
  <c r="J137" i="2" s="1"/>
  <c r="I28" i="2"/>
  <c r="I33" i="2"/>
  <c r="H33" i="2"/>
  <c r="H28" i="2"/>
  <c r="M33" i="2"/>
  <c r="M25" i="2"/>
  <c r="I25" i="2"/>
  <c r="H25" i="2"/>
  <c r="L33" i="2"/>
  <c r="M28" i="2"/>
  <c r="J28" i="2"/>
  <c r="J33" i="2"/>
  <c r="I135" i="2"/>
  <c r="N28" i="2"/>
  <c r="N25" i="2"/>
  <c r="L80" i="2"/>
  <c r="L91" i="2" s="1"/>
  <c r="L92" i="2" s="1"/>
  <c r="M120" i="2"/>
  <c r="N120" i="2" s="1"/>
  <c r="N124" i="2" s="1"/>
  <c r="M126" i="2"/>
  <c r="N126" i="2" s="1"/>
  <c r="N132" i="2" s="1"/>
  <c r="N115" i="2"/>
  <c r="M118" i="2"/>
  <c r="M137" i="2" s="1"/>
  <c r="L135" i="2"/>
  <c r="N80" i="2"/>
  <c r="N91" i="2" s="1"/>
  <c r="N92" i="2" s="1"/>
  <c r="L70" i="2"/>
  <c r="M80" i="2"/>
  <c r="M91" i="2" s="1"/>
  <c r="M92" i="2" s="1"/>
  <c r="M70" i="2"/>
  <c r="N68" i="2"/>
  <c r="N67" i="2"/>
  <c r="N70" i="2"/>
  <c r="C68" i="2"/>
  <c r="F68" i="2"/>
  <c r="K67" i="2"/>
  <c r="H67" i="2"/>
  <c r="J67" i="2"/>
  <c r="E68" i="2"/>
  <c r="G67" i="2"/>
  <c r="L67" i="2"/>
  <c r="M68" i="2"/>
  <c r="D68" i="2"/>
  <c r="M67" i="2"/>
  <c r="F67" i="2"/>
  <c r="G68" i="2"/>
  <c r="H68" i="2"/>
  <c r="J68" i="2"/>
  <c r="K68" i="2"/>
  <c r="I68" i="2"/>
  <c r="I67" i="2"/>
  <c r="L68" i="2"/>
  <c r="F57" i="2"/>
  <c r="H57" i="2"/>
  <c r="I57" i="2"/>
  <c r="AJ67" i="2" l="1"/>
  <c r="AJ54" i="2"/>
  <c r="AJ63" i="2" s="1"/>
  <c r="AN53" i="2"/>
  <c r="AO49" i="2"/>
  <c r="S65" i="2"/>
  <c r="S59" i="2"/>
  <c r="T65" i="2"/>
  <c r="T59" i="2"/>
  <c r="U65" i="2"/>
  <c r="U59" i="2"/>
  <c r="V65" i="2"/>
  <c r="V59" i="2"/>
  <c r="W65" i="2"/>
  <c r="W59" i="2"/>
  <c r="X65" i="2"/>
  <c r="X59" i="2"/>
  <c r="Y65" i="2"/>
  <c r="Y59" i="2"/>
  <c r="Z65" i="2"/>
  <c r="Z59" i="2"/>
  <c r="AA65" i="2"/>
  <c r="AA59" i="2"/>
  <c r="AB65" i="2"/>
  <c r="AB59" i="2"/>
  <c r="AC65" i="2"/>
  <c r="AC59" i="2"/>
  <c r="AC97" i="2" s="1"/>
  <c r="AD65" i="2"/>
  <c r="AD59" i="2"/>
  <c r="AD97" i="2" s="1"/>
  <c r="AE65" i="2"/>
  <c r="AE59" i="2"/>
  <c r="AE97" i="2" s="1"/>
  <c r="K118" i="2"/>
  <c r="K137" i="2" s="1"/>
  <c r="K138" i="2" s="1"/>
  <c r="AF57" i="2"/>
  <c r="AF63" i="2"/>
  <c r="AG63" i="2"/>
  <c r="AG57" i="2"/>
  <c r="J135" i="2"/>
  <c r="K120" i="2"/>
  <c r="K124" i="2" s="1"/>
  <c r="N117" i="2"/>
  <c r="M124" i="2"/>
  <c r="M132" i="2"/>
  <c r="N118" i="2"/>
  <c r="N137" i="2" s="1"/>
  <c r="B63" i="2"/>
  <c r="B57" i="2"/>
  <c r="F63" i="2"/>
  <c r="F65" i="2"/>
  <c r="F59" i="2"/>
  <c r="K63" i="2"/>
  <c r="H63" i="2"/>
  <c r="H59" i="2"/>
  <c r="H97" i="2" s="1"/>
  <c r="H65" i="2"/>
  <c r="L63" i="2"/>
  <c r="L57" i="2"/>
  <c r="I63" i="2"/>
  <c r="I65" i="2"/>
  <c r="I59" i="2"/>
  <c r="AK67" i="2" l="1"/>
  <c r="AK54" i="2"/>
  <c r="AK63" i="2" s="1"/>
  <c r="AP49" i="2"/>
  <c r="AO53" i="2"/>
  <c r="S64" i="2"/>
  <c r="S60" i="2"/>
  <c r="T64" i="2"/>
  <c r="T60" i="2"/>
  <c r="N138" i="2"/>
  <c r="U64" i="2"/>
  <c r="U60" i="2"/>
  <c r="V64" i="2"/>
  <c r="V60" i="2"/>
  <c r="K135" i="2"/>
  <c r="M138" i="2"/>
  <c r="W64" i="2"/>
  <c r="W60" i="2"/>
  <c r="L138" i="2"/>
  <c r="X64" i="2"/>
  <c r="X60" i="2"/>
  <c r="Y64" i="2"/>
  <c r="Y60" i="2"/>
  <c r="Z64" i="2"/>
  <c r="Z60" i="2"/>
  <c r="AA64" i="2"/>
  <c r="AA60" i="2"/>
  <c r="AB64" i="2"/>
  <c r="AB60" i="2"/>
  <c r="AC64" i="2"/>
  <c r="AC60" i="2"/>
  <c r="AD64" i="2"/>
  <c r="AD60" i="2"/>
  <c r="AE64" i="2"/>
  <c r="AE60" i="2"/>
  <c r="I97" i="2"/>
  <c r="AF65" i="2"/>
  <c r="AF59" i="2"/>
  <c r="AF97" i="2" s="1"/>
  <c r="AG65" i="2"/>
  <c r="AH58" i="2" s="1"/>
  <c r="AG59" i="2"/>
  <c r="AG97" i="2" s="1"/>
  <c r="M135" i="2"/>
  <c r="N135" i="2"/>
  <c r="B65" i="2"/>
  <c r="B59" i="2"/>
  <c r="C63" i="2"/>
  <c r="C57" i="2"/>
  <c r="D63" i="2"/>
  <c r="D57" i="2"/>
  <c r="E63" i="2"/>
  <c r="E57" i="2"/>
  <c r="M57" i="2"/>
  <c r="M63" i="2"/>
  <c r="F64" i="2"/>
  <c r="F60" i="2"/>
  <c r="J63" i="2"/>
  <c r="J57" i="2"/>
  <c r="G57" i="2"/>
  <c r="G63" i="2"/>
  <c r="K57" i="2"/>
  <c r="K59" i="2" s="1"/>
  <c r="H64" i="2"/>
  <c r="H60" i="2"/>
  <c r="L65" i="2"/>
  <c r="L59" i="2"/>
  <c r="L97" i="2" s="1"/>
  <c r="I64" i="2"/>
  <c r="I60" i="2"/>
  <c r="AH59" i="2" l="1"/>
  <c r="AH65" i="2"/>
  <c r="AL67" i="2"/>
  <c r="AL54" i="2"/>
  <c r="AL63" i="2" s="1"/>
  <c r="AQ49" i="2"/>
  <c r="AP53" i="2"/>
  <c r="K97" i="2"/>
  <c r="AF60" i="2"/>
  <c r="AF64" i="2"/>
  <c r="AG64" i="2"/>
  <c r="AG60" i="2"/>
  <c r="B64" i="2"/>
  <c r="B60" i="2"/>
  <c r="C65" i="2"/>
  <c r="C59" i="2"/>
  <c r="D59" i="2"/>
  <c r="D65" i="2"/>
  <c r="E65" i="2"/>
  <c r="E59" i="2"/>
  <c r="M59" i="2"/>
  <c r="M97" i="2" s="1"/>
  <c r="M65" i="2"/>
  <c r="J65" i="2"/>
  <c r="J59" i="2"/>
  <c r="L94" i="2" s="1"/>
  <c r="L95" i="2" s="1"/>
  <c r="G65" i="2"/>
  <c r="G59" i="2"/>
  <c r="K65" i="2"/>
  <c r="K64" i="2"/>
  <c r="K60" i="2"/>
  <c r="L64" i="2"/>
  <c r="L60" i="2"/>
  <c r="AH70" i="2" l="1"/>
  <c r="AH60" i="2"/>
  <c r="AH64" i="2"/>
  <c r="AM67" i="2"/>
  <c r="AM54" i="2"/>
  <c r="AM63" i="2" s="1"/>
  <c r="AR49" i="2"/>
  <c r="AQ53" i="2"/>
  <c r="J97" i="2"/>
  <c r="M94" i="2"/>
  <c r="M95" i="2" s="1"/>
  <c r="C64" i="2"/>
  <c r="C60" i="2"/>
  <c r="D60" i="2"/>
  <c r="D64" i="2"/>
  <c r="E64" i="2"/>
  <c r="E60" i="2"/>
  <c r="M60" i="2"/>
  <c r="M64" i="2"/>
  <c r="J64" i="2"/>
  <c r="J60" i="2"/>
  <c r="G64" i="2"/>
  <c r="G60" i="2"/>
  <c r="AI56" i="2" l="1"/>
  <c r="AI57" i="2" s="1"/>
  <c r="AN67" i="2"/>
  <c r="AN54" i="2"/>
  <c r="AN63" i="2" s="1"/>
  <c r="AS49" i="2"/>
  <c r="AR53" i="2"/>
  <c r="N63" i="2"/>
  <c r="N57" i="2"/>
  <c r="AI58" i="2" l="1"/>
  <c r="AI65" i="2" s="1"/>
  <c r="AI59" i="2"/>
  <c r="AO67" i="2"/>
  <c r="AO54" i="2"/>
  <c r="AO63" i="2" s="1"/>
  <c r="AT49" i="2"/>
  <c r="AS53" i="2"/>
  <c r="N65" i="2"/>
  <c r="N59" i="2"/>
  <c r="AI60" i="2" l="1"/>
  <c r="AI64" i="2"/>
  <c r="AI70" i="2"/>
  <c r="AP67" i="2"/>
  <c r="AP54" i="2"/>
  <c r="AP63" i="2" s="1"/>
  <c r="AT53" i="2"/>
  <c r="AU49" i="2"/>
  <c r="N97" i="2"/>
  <c r="N94" i="2"/>
  <c r="N95" i="2" s="1"/>
  <c r="N64" i="2"/>
  <c r="N60" i="2"/>
  <c r="AJ55" i="2" l="1"/>
  <c r="AJ57" i="2" s="1"/>
  <c r="AQ67" i="2"/>
  <c r="AQ54" i="2"/>
  <c r="AQ63" i="2" s="1"/>
  <c r="AU53" i="2"/>
  <c r="AV49" i="2"/>
  <c r="AV53" i="2" s="1"/>
  <c r="AJ58" i="2" l="1"/>
  <c r="AJ65" i="2" s="1"/>
  <c r="AJ59" i="2"/>
  <c r="AR67" i="2"/>
  <c r="AR54" i="2"/>
  <c r="AR63" i="2" s="1"/>
  <c r="AJ64" i="2" l="1"/>
  <c r="AJ60" i="2"/>
  <c r="AJ70" i="2"/>
  <c r="AS67" i="2"/>
  <c r="AS54" i="2"/>
  <c r="AS63" i="2" s="1"/>
  <c r="AK55" i="2" l="1"/>
  <c r="AK57" i="2" s="1"/>
  <c r="AT67" i="2"/>
  <c r="AT54" i="2"/>
  <c r="AT63" i="2" s="1"/>
  <c r="AK58" i="2" l="1"/>
  <c r="AK65" i="2" s="1"/>
  <c r="AK59" i="2"/>
  <c r="AU67" i="2"/>
  <c r="AU54" i="2"/>
  <c r="AU63" i="2" s="1"/>
  <c r="AK64" i="2" l="1"/>
  <c r="AK60" i="2"/>
  <c r="AK70" i="2"/>
  <c r="AV67" i="2"/>
  <c r="AV54" i="2"/>
  <c r="AV63" i="2" s="1"/>
  <c r="AL55" i="2" l="1"/>
  <c r="AL57" i="2" s="1"/>
  <c r="AL58" i="2" l="1"/>
  <c r="AL65" i="2" s="1"/>
  <c r="AL59" i="2"/>
  <c r="AL64" i="2" l="1"/>
  <c r="AL60" i="2"/>
  <c r="AL70" i="2"/>
  <c r="AM55" i="2" l="1"/>
  <c r="AM57" i="2" s="1"/>
  <c r="AM58" i="2" l="1"/>
  <c r="AM65" i="2" s="1"/>
  <c r="AM59" i="2"/>
  <c r="AM64" i="2" l="1"/>
  <c r="AM60" i="2"/>
  <c r="AM70" i="2"/>
  <c r="AN55" i="2" l="1"/>
  <c r="AN57" i="2" s="1"/>
  <c r="AN58" i="2" l="1"/>
  <c r="AN65" i="2" s="1"/>
  <c r="AN59" i="2" l="1"/>
  <c r="AN60" i="2"/>
  <c r="AN64" i="2"/>
  <c r="AN70" i="2"/>
  <c r="AO55" i="2" l="1"/>
  <c r="AO57" i="2" s="1"/>
  <c r="AO58" i="2" l="1"/>
  <c r="AO65" i="2" s="1"/>
  <c r="AO59" i="2"/>
  <c r="AO60" i="2" l="1"/>
  <c r="AO64" i="2"/>
  <c r="AO70" i="2"/>
  <c r="AP55" i="2" l="1"/>
  <c r="AP57" i="2" s="1"/>
  <c r="AP58" i="2" l="1"/>
  <c r="AP65" i="2" s="1"/>
  <c r="AP59" i="2"/>
  <c r="AP64" i="2" l="1"/>
  <c r="AP60" i="2"/>
  <c r="AP70" i="2"/>
  <c r="AQ55" i="2" l="1"/>
  <c r="AQ57" i="2" s="1"/>
  <c r="AQ58" i="2" l="1"/>
  <c r="AQ65" i="2" s="1"/>
  <c r="AQ59" i="2"/>
  <c r="AQ64" i="2" l="1"/>
  <c r="AQ60" i="2"/>
  <c r="AQ70" i="2"/>
  <c r="AR55" i="2" l="1"/>
  <c r="AR57" i="2" s="1"/>
  <c r="AR58" i="2" l="1"/>
  <c r="AR65" i="2" s="1"/>
  <c r="AR59" i="2"/>
  <c r="AR64" i="2" l="1"/>
  <c r="AR60" i="2"/>
  <c r="AR70" i="2"/>
  <c r="AS55" i="2" l="1"/>
  <c r="AS57" i="2" s="1"/>
  <c r="AS58" i="2" l="1"/>
  <c r="AS65" i="2" s="1"/>
  <c r="AS59" i="2"/>
  <c r="AS64" i="2" l="1"/>
  <c r="AS60" i="2"/>
  <c r="AS70" i="2"/>
  <c r="AT55" i="2" l="1"/>
  <c r="AT57" i="2" s="1"/>
  <c r="AT58" i="2" l="1"/>
  <c r="AT65" i="2" s="1"/>
  <c r="AT59" i="2"/>
  <c r="AT60" i="2" l="1"/>
  <c r="AT64" i="2"/>
  <c r="AT70" i="2"/>
  <c r="AU55" i="2" l="1"/>
  <c r="AU57" i="2" s="1"/>
  <c r="AU58" i="2" l="1"/>
  <c r="AU65" i="2" s="1"/>
  <c r="AU59" i="2"/>
  <c r="AU60" i="2" l="1"/>
  <c r="AU64" i="2"/>
  <c r="AU70" i="2"/>
  <c r="AV55" i="2" l="1"/>
  <c r="AV57" i="2" s="1"/>
  <c r="AV58" i="2" l="1"/>
  <c r="AV65" i="2" s="1"/>
  <c r="AV59" i="2"/>
  <c r="AV64" i="2" l="1"/>
  <c r="AV60" i="2"/>
  <c r="AW59" i="2"/>
  <c r="AX59" i="2" s="1"/>
  <c r="AY59" i="2" s="1"/>
  <c r="AZ59" i="2" s="1"/>
  <c r="BA59" i="2" s="1"/>
  <c r="BB59" i="2" s="1"/>
  <c r="BC59" i="2" s="1"/>
  <c r="BD59" i="2" s="1"/>
  <c r="BE59" i="2" s="1"/>
  <c r="BF59" i="2" s="1"/>
  <c r="BG59" i="2" s="1"/>
  <c r="BH59" i="2" s="1"/>
  <c r="BI59" i="2" s="1"/>
  <c r="BJ59" i="2" s="1"/>
  <c r="BK59" i="2" s="1"/>
  <c r="BL59" i="2" s="1"/>
  <c r="BM59" i="2" s="1"/>
  <c r="BN59" i="2" s="1"/>
  <c r="BO59" i="2" s="1"/>
  <c r="BP59" i="2" s="1"/>
  <c r="BQ59" i="2" s="1"/>
  <c r="BR59" i="2" s="1"/>
  <c r="BS59" i="2" s="1"/>
  <c r="BT59" i="2" s="1"/>
  <c r="BU59" i="2" s="1"/>
  <c r="BV59" i="2" s="1"/>
  <c r="BW59" i="2" s="1"/>
  <c r="BX59" i="2" s="1"/>
  <c r="BY59" i="2" s="1"/>
  <c r="BZ59" i="2" s="1"/>
  <c r="CA59" i="2" s="1"/>
  <c r="CB59" i="2" s="1"/>
  <c r="CC59" i="2" s="1"/>
  <c r="CD59" i="2" s="1"/>
  <c r="CE59" i="2" s="1"/>
  <c r="CF59" i="2" s="1"/>
  <c r="CG59" i="2" s="1"/>
  <c r="CH59" i="2" s="1"/>
  <c r="CI59" i="2" s="1"/>
  <c r="CJ59" i="2" s="1"/>
  <c r="CK59" i="2" s="1"/>
  <c r="CL59" i="2" s="1"/>
  <c r="CM59" i="2" s="1"/>
  <c r="CN59" i="2" s="1"/>
  <c r="CO59" i="2" s="1"/>
  <c r="CP59" i="2" s="1"/>
  <c r="CQ59" i="2" s="1"/>
  <c r="CR59" i="2" s="1"/>
  <c r="CS59" i="2" s="1"/>
  <c r="CT59" i="2" s="1"/>
  <c r="CU59" i="2" s="1"/>
  <c r="CV59" i="2" s="1"/>
  <c r="CW59" i="2" s="1"/>
  <c r="CX59" i="2" s="1"/>
  <c r="CY59" i="2" s="1"/>
  <c r="CZ59" i="2" s="1"/>
  <c r="DA59" i="2" s="1"/>
  <c r="DB59" i="2" s="1"/>
  <c r="DC59" i="2" s="1"/>
  <c r="DD59" i="2" s="1"/>
  <c r="DE59" i="2" s="1"/>
  <c r="DF59" i="2" s="1"/>
  <c r="DG59" i="2" s="1"/>
  <c r="DH59" i="2" s="1"/>
  <c r="DI59" i="2" s="1"/>
  <c r="DJ59" i="2" s="1"/>
  <c r="DK59" i="2" s="1"/>
  <c r="DL59" i="2" s="1"/>
  <c r="DM59" i="2" s="1"/>
  <c r="DN59" i="2" s="1"/>
  <c r="DO59" i="2" s="1"/>
  <c r="DP59" i="2" s="1"/>
  <c r="DQ59" i="2" s="1"/>
  <c r="DR59" i="2" s="1"/>
  <c r="DS59" i="2" s="1"/>
  <c r="DT59" i="2" s="1"/>
  <c r="DU59" i="2" s="1"/>
  <c r="DV59" i="2" s="1"/>
  <c r="DW59" i="2" s="1"/>
  <c r="DX59" i="2" s="1"/>
  <c r="DY59" i="2" s="1"/>
  <c r="DZ59" i="2" s="1"/>
  <c r="EA59" i="2" s="1"/>
  <c r="EB59" i="2" s="1"/>
  <c r="EC59" i="2" s="1"/>
  <c r="ED59" i="2" s="1"/>
  <c r="EE59" i="2" s="1"/>
  <c r="EF59" i="2" s="1"/>
  <c r="EG59" i="2" s="1"/>
  <c r="EH59" i="2" s="1"/>
  <c r="EI59" i="2" s="1"/>
  <c r="EJ59" i="2" s="1"/>
  <c r="EK59" i="2" s="1"/>
  <c r="EL59" i="2" s="1"/>
  <c r="EM59" i="2" s="1"/>
  <c r="EN59" i="2" s="1"/>
  <c r="EO59" i="2" s="1"/>
  <c r="EP59" i="2" s="1"/>
  <c r="EQ59" i="2" s="1"/>
  <c r="ER59" i="2" s="1"/>
  <c r="ES59" i="2" s="1"/>
  <c r="AY66" i="2" s="1"/>
  <c r="AY68" i="2" s="1"/>
  <c r="AY69" i="2" s="1"/>
  <c r="AY71" i="2" s="1"/>
  <c r="AV7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<sst xmlns="http://schemas.openxmlformats.org/spreadsheetml/2006/main" count="212" uniqueCount="153">
  <si>
    <t>Starbucks</t>
  </si>
  <si>
    <t>(SBUX)</t>
  </si>
  <si>
    <t>(in millions)</t>
  </si>
  <si>
    <t>Price</t>
  </si>
  <si>
    <t>Shares</t>
  </si>
  <si>
    <t>MC</t>
  </si>
  <si>
    <t>Cash</t>
  </si>
  <si>
    <t>Debt</t>
  </si>
  <si>
    <t>EV</t>
  </si>
  <si>
    <t>Q124</t>
  </si>
  <si>
    <t>Q224</t>
  </si>
  <si>
    <t>Licensed stores</t>
  </si>
  <si>
    <t>Other</t>
  </si>
  <si>
    <t>Revenue</t>
  </si>
  <si>
    <t>Store operating</t>
  </si>
  <si>
    <t>G&amp;A</t>
  </si>
  <si>
    <t>Operating expense</t>
  </si>
  <si>
    <t>Operating income</t>
  </si>
  <si>
    <t>Interest income</t>
  </si>
  <si>
    <t>Interest expense</t>
  </si>
  <si>
    <t>Pretax</t>
  </si>
  <si>
    <t>Taxes</t>
  </si>
  <si>
    <t>Net income</t>
  </si>
  <si>
    <t>EPS</t>
  </si>
  <si>
    <t>Operating margin</t>
  </si>
  <si>
    <t>Tax rate</t>
  </si>
  <si>
    <t>Revenue y/y</t>
  </si>
  <si>
    <t>Revenue q/q</t>
  </si>
  <si>
    <t>Q223</t>
  </si>
  <si>
    <t>Q123</t>
  </si>
  <si>
    <t>Q422</t>
  </si>
  <si>
    <t>Q423</t>
  </si>
  <si>
    <t>Q323</t>
  </si>
  <si>
    <t>Q322</t>
  </si>
  <si>
    <t>Q222</t>
  </si>
  <si>
    <t>Q122</t>
  </si>
  <si>
    <t>Q421</t>
  </si>
  <si>
    <t>Q321</t>
  </si>
  <si>
    <t>Net cash</t>
  </si>
  <si>
    <t>A/R</t>
  </si>
  <si>
    <t>Inventories</t>
  </si>
  <si>
    <t>Prepaid</t>
  </si>
  <si>
    <t>PP&amp;E</t>
  </si>
  <si>
    <t>Lease</t>
  </si>
  <si>
    <t>D/T</t>
  </si>
  <si>
    <t>Goodwill</t>
  </si>
  <si>
    <t>Assets</t>
  </si>
  <si>
    <t>A/P</t>
  </si>
  <si>
    <t>Accrued</t>
  </si>
  <si>
    <t>Benefits</t>
  </si>
  <si>
    <t>D/R</t>
  </si>
  <si>
    <t>Liabilities</t>
  </si>
  <si>
    <t>S/E</t>
  </si>
  <si>
    <t>L+S/E</t>
  </si>
  <si>
    <t>Model NI</t>
  </si>
  <si>
    <t>Reported NI</t>
  </si>
  <si>
    <t>D&amp;A</t>
  </si>
  <si>
    <t>Investees</t>
  </si>
  <si>
    <t>Sales</t>
  </si>
  <si>
    <t>SBC</t>
  </si>
  <si>
    <t>Iventories</t>
  </si>
  <si>
    <t>Income tax payable</t>
  </si>
  <si>
    <t>Working capital</t>
  </si>
  <si>
    <t>CFFO</t>
  </si>
  <si>
    <t>Investments</t>
  </si>
  <si>
    <t>CapEx</t>
  </si>
  <si>
    <t>CFFI</t>
  </si>
  <si>
    <t>Dividends</t>
  </si>
  <si>
    <t>Taxes SBC</t>
  </si>
  <si>
    <t>Issuance stock</t>
  </si>
  <si>
    <t>Buybacks</t>
  </si>
  <si>
    <t>CFFF</t>
  </si>
  <si>
    <t>FX</t>
  </si>
  <si>
    <t>CIC</t>
  </si>
  <si>
    <t>FCF</t>
  </si>
  <si>
    <t>TTM</t>
  </si>
  <si>
    <t>Fulltime employees</t>
  </si>
  <si>
    <t>Q324</t>
  </si>
  <si>
    <t>Other revenue</t>
  </si>
  <si>
    <t>Operated stores revenue</t>
  </si>
  <si>
    <t>Licensed stores revenue</t>
  </si>
  <si>
    <t>Worldwide</t>
  </si>
  <si>
    <t>North America</t>
  </si>
  <si>
    <t>Change in store sales</t>
  </si>
  <si>
    <t>Change in transaction</t>
  </si>
  <si>
    <t>Change in ticket</t>
  </si>
  <si>
    <t>Store count</t>
  </si>
  <si>
    <t>Revenues</t>
  </si>
  <si>
    <t>Impairment</t>
  </si>
  <si>
    <t>Company-operated stores</t>
  </si>
  <si>
    <t>International</t>
  </si>
  <si>
    <t>Total new opened stores</t>
  </si>
  <si>
    <t>New Licensed stores</t>
  </si>
  <si>
    <t>New Company-operated stores</t>
  </si>
  <si>
    <t>Total open stores</t>
  </si>
  <si>
    <t>Sale of asset</t>
  </si>
  <si>
    <t>NI TTM</t>
  </si>
  <si>
    <t>Buffet return</t>
  </si>
  <si>
    <t>Founded</t>
  </si>
  <si>
    <r>
      <t xml:space="preserve">Sourcing and roasting high-quality </t>
    </r>
    <r>
      <rPr>
        <i/>
        <sz val="10"/>
        <color theme="1"/>
        <rFont val="Arial"/>
        <family val="2"/>
      </rPr>
      <t>arabica</t>
    </r>
    <r>
      <rPr>
        <sz val="10"/>
        <color theme="1"/>
        <rFont val="Arial"/>
        <family val="2"/>
      </rPr>
      <t xml:space="preserve"> coffee.</t>
    </r>
  </si>
  <si>
    <t>Product and distribution cost</t>
  </si>
  <si>
    <t>Revenue per store (thousands)</t>
  </si>
  <si>
    <t>Operating income per store (thousands)</t>
  </si>
  <si>
    <t>Revenue per store y/y</t>
  </si>
  <si>
    <t>Divestiture of operations</t>
  </si>
  <si>
    <t>Goodwill impairments</t>
  </si>
  <si>
    <t>CAGR</t>
  </si>
  <si>
    <t>Comparable stores sales</t>
  </si>
  <si>
    <t>Closed stores</t>
  </si>
  <si>
    <t>Opened stores</t>
  </si>
  <si>
    <t>Revenue newly/closed stores</t>
  </si>
  <si>
    <t>Total company-operated stores</t>
  </si>
  <si>
    <t>Total licensed stores</t>
  </si>
  <si>
    <t>Net additional stores</t>
  </si>
  <si>
    <t>Total net additional stores</t>
  </si>
  <si>
    <t>Supply-chain</t>
  </si>
  <si>
    <t>Farm/sub farm</t>
  </si>
  <si>
    <t>Processing plant</t>
  </si>
  <si>
    <t>Exporteur</t>
  </si>
  <si>
    <t>Importeur</t>
  </si>
  <si>
    <t>Roaster</t>
  </si>
  <si>
    <t>Retailer</t>
  </si>
  <si>
    <t>Founders</t>
  </si>
  <si>
    <t>Jerry Baldwin</t>
  </si>
  <si>
    <t>Zev Siegl</t>
  </si>
  <si>
    <t>Gorden Bowker</t>
  </si>
  <si>
    <t>(1971-1987)</t>
  </si>
  <si>
    <t>Howard Schultz</t>
  </si>
  <si>
    <t>(1987-2017)</t>
  </si>
  <si>
    <t>CEOs</t>
  </si>
  <si>
    <t>Orin C. Smith</t>
  </si>
  <si>
    <t>(2000-2005)</t>
  </si>
  <si>
    <t>Jim Donald</t>
  </si>
  <si>
    <t>(2005-2008)</t>
  </si>
  <si>
    <t>(2008-2017)</t>
  </si>
  <si>
    <t>Kevin Johnson</t>
  </si>
  <si>
    <t>(2017-2022)</t>
  </si>
  <si>
    <t>(2022-2023)</t>
  </si>
  <si>
    <t>Laxman Narasimhan</t>
  </si>
  <si>
    <t>(2023-2024)</t>
  </si>
  <si>
    <t>Brian Niccol</t>
  </si>
  <si>
    <t>(2024-present)</t>
  </si>
  <si>
    <t>Terminal value</t>
  </si>
  <si>
    <t>Discount value</t>
  </si>
  <si>
    <t>ROIC</t>
  </si>
  <si>
    <t>NPV</t>
  </si>
  <si>
    <t>Total value</t>
  </si>
  <si>
    <t>Per share</t>
  </si>
  <si>
    <t>Current price</t>
  </si>
  <si>
    <t>Upside</t>
  </si>
  <si>
    <t>U.S. Supplemental Data</t>
  </si>
  <si>
    <t>Change in comparable store sales</t>
  </si>
  <si>
    <t>Revenue comparable store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</si>
</sst>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28"/>
      <color theme="1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3" fontId="0" fillId="0" borderId="0" xfId="0" applyNumberFormat="1"/>
    <xf numFmtId="4" fontId="0" fillId="0" borderId="0" xfId="0" applyNumberFormat="1"/>
    <xf numFmtId="14" fontId="0" fillId="0" borderId="0" xfId="0" applyNumberFormat="1"/>
    <xf numFmtId="3" fontId="2" fillId="0" borderId="0" xfId="0" applyNumberFormat="1" applyFont="1"/>
    <xf numFmtId="3" fontId="3" fillId="0" borderId="0" xfId="0" applyNumberFormat="1" applyFont="1"/>
    <xf numFmtId="3" fontId="0" fillId="0" borderId="0" xfId="0" applyNumberFormat="1" applyAlignment="1">
      <alignment horizontal="right"/>
    </xf>
    <xf numFmtId="9" fontId="0" fillId="0" borderId="0" xfId="0" applyNumberFormat="1"/>
    <xf numFmtId="9" fontId="1" fillId="0" borderId="0" xfId="0" applyNumberFormat="1" applyFont="1"/>
    <xf numFmtId="3" fontId="1" fillId="0" borderId="0" xfId="0" applyNumberFormat="1" applyFont="1"/>
    <xf numFmtId="14" fontId="3" fillId="0" borderId="0" xfId="0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3" fontId="0" fillId="2" borderId="0" xfId="0" applyNumberFormat="1" applyFill="1" applyAlignment="1">
      <alignment horizontal="right"/>
    </xf>
    <xf numFmtId="3" fontId="1" fillId="0" borderId="1" xfId="0" applyNumberFormat="1" applyFont="1" applyBorder="1" applyAlignment="1">
      <alignment horizontal="center" vertical="center"/>
    </xf>
    <xf numFmtId="9" fontId="0" fillId="0" borderId="2" xfId="0" applyNumberFormat="1" applyBorder="1"/>
    <xf numFmtId="9" fontId="0" fillId="0" borderId="3" xfId="0" applyNumberFormat="1" applyBorder="1"/>
    <xf numFmtId="3" fontId="0" fillId="0" borderId="0" xfId="0" applyNumberFormat="1" applyAlignment="1">
      <alignment horizontal="left" indent="1"/>
    </xf>
    <xf numFmtId="3" fontId="3" fillId="2" borderId="0" xfId="0" applyNumberFormat="1" applyFont="1" applyFill="1" applyAlignment="1">
      <alignment horizontal="left"/>
    </xf>
    <xf numFmtId="3" fontId="1" fillId="3" borderId="0" xfId="0" applyNumberFormat="1" applyFont="1" applyFill="1"/>
    <xf numFmtId="3" fontId="1" fillId="3" borderId="0" xfId="0" applyNumberFormat="1" applyFont="1" applyFill="1" applyAlignment="1">
      <alignment horizontal="right"/>
    </xf>
    <xf numFmtId="3" fontId="0" fillId="3" borderId="0" xfId="0" applyNumberFormat="1" applyFill="1" applyAlignment="1">
      <alignment horizontal="right"/>
    </xf>
    <xf numFmtId="3" fontId="0" fillId="3" borderId="0" xfId="0" applyNumberFormat="1" applyFill="1"/>
    <xf numFmtId="3" fontId="1" fillId="0" borderId="0" xfId="0" applyNumberFormat="1" applyFont="1" applyAlignment="1">
      <alignment horizontal="right"/>
    </xf>
    <xf numFmtId="0" fontId="1" fillId="0" borderId="0" xfId="0" applyFont="1"/>
    <xf numFmtId="9" fontId="0" fillId="4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0</xdr:row>
      <xdr:rowOff>38100</xdr:rowOff>
    </xdr:from>
    <xdr:to>
      <xdr:col>14</xdr:col>
      <xdr:colOff>19050</xdr:colOff>
      <xdr:row>142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8A89289-44F4-5C20-B030-6B5B5E27055E}"/>
            </a:ext>
          </a:extLst>
        </xdr:cNvPr>
        <xdr:cNvCxnSpPr/>
      </xdr:nvCxnSpPr>
      <xdr:spPr>
        <a:xfrm>
          <a:off x="10715625" y="38100"/>
          <a:ext cx="0" cy="216693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</xdr:colOff>
      <xdr:row>0</xdr:row>
      <xdr:rowOff>57150</xdr:rowOff>
    </xdr:from>
    <xdr:to>
      <xdr:col>33</xdr:col>
      <xdr:colOff>19050</xdr:colOff>
      <xdr:row>143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4ABD3D9-9273-070D-409C-C22A928C1BAB}"/>
            </a:ext>
          </a:extLst>
        </xdr:cNvPr>
        <xdr:cNvCxnSpPr/>
      </xdr:nvCxnSpPr>
      <xdr:spPr>
        <a:xfrm>
          <a:off x="21478875" y="57150"/>
          <a:ext cx="0" cy="212693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502E-15E2-4CC0-820F-2D1DE80C36B4}">
  <dimension ref="A1:N24"/>
  <sheetViews>
    <sheetView workbookViewId="0">
      <selection activeCell="A14" sqref="A14"/>
    </sheetView>
  </sheetViews>
  <sheetFormatPr defaultRowHeight="12.75" x14ac:dyDescent="0.2"/>
  <cols>
    <col min="1" max="1" width="26.140625" bestFit="1" customWidth="1"/>
    <col min="11" max="11" width="18.42578125" customWidth="1"/>
    <col min="12" max="12" width="8.42578125" bestFit="1" customWidth="1"/>
    <col min="13" max="13" width="13.85546875" bestFit="1" customWidth="1"/>
    <col min="14" max="14" width="12.85546875" bestFit="1" customWidth="1"/>
  </cols>
  <sheetData>
    <row r="1" spans="1:14" ht="34.5" x14ac:dyDescent="0.45">
      <c r="A1" s="1" t="s">
        <v>0</v>
      </c>
    </row>
    <row r="2" spans="1:14" x14ac:dyDescent="0.2">
      <c r="A2" s="2" t="s">
        <v>1</v>
      </c>
    </row>
    <row r="3" spans="1:14" x14ac:dyDescent="0.2">
      <c r="A3" s="2" t="s">
        <v>2</v>
      </c>
      <c r="B3" t="s">
        <v>99</v>
      </c>
      <c r="J3" t="s">
        <v>3</v>
      </c>
      <c r="K3" s="4">
        <v>97.65</v>
      </c>
    </row>
    <row r="4" spans="1:14" x14ac:dyDescent="0.2">
      <c r="J4" t="s">
        <v>4</v>
      </c>
      <c r="K4" s="3">
        <v>1132.7</v>
      </c>
    </row>
    <row r="5" spans="1:14" x14ac:dyDescent="0.2">
      <c r="B5" s="27" t="s">
        <v>115</v>
      </c>
      <c r="J5" t="s">
        <v>5</v>
      </c>
      <c r="K5" s="3">
        <f>+K3*K4</f>
        <v>110608.15500000001</v>
      </c>
    </row>
    <row r="6" spans="1:14" x14ac:dyDescent="0.2">
      <c r="B6" t="s">
        <v>116</v>
      </c>
      <c r="J6" t="s">
        <v>6</v>
      </c>
      <c r="K6" s="3">
        <f>2764.1+362.5+280.4</f>
        <v>3407</v>
      </c>
    </row>
    <row r="7" spans="1:14" x14ac:dyDescent="0.2">
      <c r="B7" t="s">
        <v>117</v>
      </c>
      <c r="J7" t="s">
        <v>7</v>
      </c>
      <c r="K7" s="3">
        <f>42.1+15547.5</f>
        <v>15589.6</v>
      </c>
    </row>
    <row r="8" spans="1:14" x14ac:dyDescent="0.2">
      <c r="B8" t="s">
        <v>118</v>
      </c>
      <c r="J8" t="s">
        <v>8</v>
      </c>
      <c r="K8" s="3">
        <f>+K5-K6+K7</f>
        <v>122790.75500000002</v>
      </c>
    </row>
    <row r="9" spans="1:14" x14ac:dyDescent="0.2">
      <c r="B9" t="s">
        <v>119</v>
      </c>
      <c r="K9" s="3">
        <v>3826</v>
      </c>
    </row>
    <row r="10" spans="1:14" x14ac:dyDescent="0.2">
      <c r="B10" t="s">
        <v>120</v>
      </c>
      <c r="K10" s="13">
        <f>+K8/K9</f>
        <v>32.093767642446423</v>
      </c>
    </row>
    <row r="11" spans="1:14" x14ac:dyDescent="0.2">
      <c r="B11" t="s">
        <v>121</v>
      </c>
    </row>
    <row r="12" spans="1:14" x14ac:dyDescent="0.2">
      <c r="J12" t="s">
        <v>98</v>
      </c>
      <c r="K12">
        <v>1971</v>
      </c>
    </row>
    <row r="14" spans="1:14" x14ac:dyDescent="0.2">
      <c r="J14" t="s">
        <v>122</v>
      </c>
      <c r="K14" t="s">
        <v>123</v>
      </c>
      <c r="N14" t="s">
        <v>126</v>
      </c>
    </row>
    <row r="15" spans="1:14" x14ac:dyDescent="0.2">
      <c r="K15" t="s">
        <v>124</v>
      </c>
    </row>
    <row r="16" spans="1:14" x14ac:dyDescent="0.2">
      <c r="K16" t="s">
        <v>125</v>
      </c>
    </row>
    <row r="17" spans="10:14" x14ac:dyDescent="0.2">
      <c r="J17" t="s">
        <v>129</v>
      </c>
      <c r="K17" t="s">
        <v>127</v>
      </c>
      <c r="N17" t="s">
        <v>128</v>
      </c>
    </row>
    <row r="18" spans="10:14" x14ac:dyDescent="0.2">
      <c r="K18" t="s">
        <v>130</v>
      </c>
      <c r="N18" t="s">
        <v>131</v>
      </c>
    </row>
    <row r="19" spans="10:14" x14ac:dyDescent="0.2">
      <c r="K19" t="s">
        <v>132</v>
      </c>
      <c r="N19" t="s">
        <v>133</v>
      </c>
    </row>
    <row r="20" spans="10:14" x14ac:dyDescent="0.2">
      <c r="K20" t="s">
        <v>127</v>
      </c>
      <c r="N20" t="s">
        <v>134</v>
      </c>
    </row>
    <row r="21" spans="10:14" x14ac:dyDescent="0.2">
      <c r="K21" t="s">
        <v>135</v>
      </c>
      <c r="N21" t="s">
        <v>136</v>
      </c>
    </row>
    <row r="22" spans="10:14" x14ac:dyDescent="0.2">
      <c r="K22" t="s">
        <v>127</v>
      </c>
      <c r="N22" t="s">
        <v>137</v>
      </c>
    </row>
    <row r="23" spans="10:14" x14ac:dyDescent="0.2">
      <c r="K23" t="s">
        <v>138</v>
      </c>
      <c r="N23" t="s">
        <v>139</v>
      </c>
    </row>
    <row r="24" spans="10:14" x14ac:dyDescent="0.2">
      <c r="K24" t="s">
        <v>140</v>
      </c>
      <c r="N24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980A6-2D64-459A-80A7-022C5495556D}">
  <dimension ref="A1:ES140"/>
  <sheetViews>
    <sheetView tabSelected="1" workbookViewId="0">
      <pane xSplit="1" ySplit="3" topLeftCell="G4" activePane="bottomRight" state="frozen"/>
      <selection pane="topRight" activeCell="B1" sqref="B1"/>
      <selection pane="bottomLeft" activeCell="A4" sqref="A4"/>
      <selection pane="bottomRight" activeCell="M1" sqref="M1"/>
    </sheetView>
  </sheetViews>
  <sheetFormatPr defaultRowHeight="12.75" x14ac:dyDescent="0.2"/>
  <cols>
    <col min="1" max="1" width="28.5703125" style="3" bestFit="1" customWidth="1"/>
    <col min="2" max="13" width="10.140625" style="3" bestFit="1" customWidth="1"/>
    <col min="14" max="22" width="10.140625" style="3" customWidth="1"/>
    <col min="23" max="49" width="9.140625" style="3"/>
    <col min="50" max="50" width="13.140625" style="3" bestFit="1" customWidth="1"/>
    <col min="51" max="51" width="11.28515625" style="3" customWidth="1"/>
    <col min="52" max="16384" width="9.140625" style="3"/>
  </cols>
  <sheetData>
    <row r="1" spans="1:48" ht="34.5" x14ac:dyDescent="0.45">
      <c r="A1" s="6" t="s">
        <v>0</v>
      </c>
    </row>
    <row r="2" spans="1:48" s="5" customFormat="1" x14ac:dyDescent="0.2">
      <c r="A2" s="12" t="s">
        <v>1</v>
      </c>
      <c r="B2" s="5">
        <v>44374</v>
      </c>
      <c r="C2" s="5">
        <v>44471</v>
      </c>
      <c r="D2" s="5">
        <v>44563</v>
      </c>
      <c r="E2" s="5">
        <v>44653</v>
      </c>
      <c r="F2" s="5">
        <v>44745</v>
      </c>
      <c r="G2" s="5">
        <v>44836</v>
      </c>
      <c r="H2" s="5">
        <v>44927</v>
      </c>
      <c r="I2" s="5">
        <v>45018</v>
      </c>
      <c r="J2" s="5">
        <v>45109</v>
      </c>
      <c r="K2" s="5">
        <v>45200</v>
      </c>
      <c r="L2" s="5">
        <v>45291</v>
      </c>
      <c r="M2" s="5">
        <v>45382</v>
      </c>
      <c r="N2" s="5">
        <v>45473</v>
      </c>
    </row>
    <row r="3" spans="1:48" s="8" customFormat="1" x14ac:dyDescent="0.2">
      <c r="A3" s="7" t="s">
        <v>2</v>
      </c>
      <c r="B3" s="8" t="s">
        <v>37</v>
      </c>
      <c r="C3" s="8" t="s">
        <v>36</v>
      </c>
      <c r="D3" s="8" t="s">
        <v>35</v>
      </c>
      <c r="E3" s="8" t="s">
        <v>34</v>
      </c>
      <c r="F3" s="8" t="s">
        <v>33</v>
      </c>
      <c r="G3" s="8" t="s">
        <v>30</v>
      </c>
      <c r="H3" s="8" t="s">
        <v>29</v>
      </c>
      <c r="I3" s="8" t="s">
        <v>28</v>
      </c>
      <c r="J3" s="8" t="s">
        <v>32</v>
      </c>
      <c r="K3" s="8" t="s">
        <v>31</v>
      </c>
      <c r="L3" s="8" t="s">
        <v>9</v>
      </c>
      <c r="M3" s="8" t="s">
        <v>10</v>
      </c>
      <c r="N3" s="8" t="s">
        <v>77</v>
      </c>
      <c r="S3" s="14">
        <v>2009</v>
      </c>
      <c r="T3" s="14">
        <v>2010</v>
      </c>
      <c r="U3" s="14">
        <v>2011</v>
      </c>
      <c r="V3" s="14">
        <v>2012</v>
      </c>
      <c r="W3" s="14">
        <v>2013</v>
      </c>
      <c r="X3" s="14">
        <v>2014</v>
      </c>
      <c r="Y3" s="14">
        <f>+X3+1</f>
        <v>2015</v>
      </c>
      <c r="Z3" s="14">
        <f t="shared" ref="Z3:AR3" si="0">+Y3+1</f>
        <v>2016</v>
      </c>
      <c r="AA3" s="14">
        <f t="shared" si="0"/>
        <v>2017</v>
      </c>
      <c r="AB3" s="14">
        <f t="shared" si="0"/>
        <v>2018</v>
      </c>
      <c r="AC3" s="14">
        <f t="shared" si="0"/>
        <v>2019</v>
      </c>
      <c r="AD3" s="14">
        <f t="shared" si="0"/>
        <v>2020</v>
      </c>
      <c r="AE3" s="14">
        <f t="shared" si="0"/>
        <v>2021</v>
      </c>
      <c r="AF3" s="14">
        <f t="shared" si="0"/>
        <v>2022</v>
      </c>
      <c r="AG3" s="14">
        <f t="shared" si="0"/>
        <v>2023</v>
      </c>
      <c r="AH3" s="14">
        <f t="shared" si="0"/>
        <v>2024</v>
      </c>
      <c r="AI3" s="14">
        <f t="shared" si="0"/>
        <v>2025</v>
      </c>
      <c r="AJ3" s="14">
        <f t="shared" si="0"/>
        <v>2026</v>
      </c>
      <c r="AK3" s="14">
        <f t="shared" si="0"/>
        <v>2027</v>
      </c>
      <c r="AL3" s="14">
        <f t="shared" si="0"/>
        <v>2028</v>
      </c>
      <c r="AM3" s="14">
        <f t="shared" si="0"/>
        <v>2029</v>
      </c>
      <c r="AN3" s="14">
        <f t="shared" si="0"/>
        <v>2030</v>
      </c>
      <c r="AO3" s="14">
        <f t="shared" si="0"/>
        <v>2031</v>
      </c>
      <c r="AP3" s="14">
        <f t="shared" si="0"/>
        <v>2032</v>
      </c>
      <c r="AQ3" s="14">
        <f t="shared" si="0"/>
        <v>2033</v>
      </c>
      <c r="AR3" s="14">
        <f t="shared" si="0"/>
        <v>2034</v>
      </c>
      <c r="AS3" s="8">
        <f>+AR3+1</f>
        <v>2035</v>
      </c>
      <c r="AT3" s="14">
        <f t="shared" ref="AT3:AV3" si="1">+AS3+1</f>
        <v>2036</v>
      </c>
      <c r="AU3" s="14">
        <f t="shared" si="1"/>
        <v>2037</v>
      </c>
      <c r="AV3" s="14">
        <f t="shared" si="1"/>
        <v>2038</v>
      </c>
    </row>
    <row r="4" spans="1:48" s="23" customFormat="1" x14ac:dyDescent="0.2">
      <c r="A4" s="22" t="s">
        <v>82</v>
      </c>
    </row>
    <row r="5" spans="1:48" s="16" customFormat="1" x14ac:dyDescent="0.2">
      <c r="A5" s="21" t="s">
        <v>89</v>
      </c>
    </row>
    <row r="6" spans="1:48" s="8" customFormat="1" x14ac:dyDescent="0.2">
      <c r="A6" s="20" t="s">
        <v>109</v>
      </c>
      <c r="AF6" s="8">
        <v>481</v>
      </c>
      <c r="AG6" s="8">
        <v>527</v>
      </c>
    </row>
    <row r="7" spans="1:48" s="8" customFormat="1" x14ac:dyDescent="0.2">
      <c r="A7" s="20" t="s">
        <v>108</v>
      </c>
      <c r="AF7" s="8">
        <v>123</v>
      </c>
      <c r="AG7" s="8">
        <v>115</v>
      </c>
    </row>
    <row r="8" spans="1:48" s="8" customFormat="1" x14ac:dyDescent="0.2">
      <c r="A8" s="20" t="s">
        <v>113</v>
      </c>
      <c r="G8" s="8">
        <v>166</v>
      </c>
      <c r="H8" s="8">
        <v>40</v>
      </c>
      <c r="I8" s="8">
        <v>91</v>
      </c>
      <c r="J8" s="8">
        <v>105</v>
      </c>
      <c r="K8" s="8">
        <v>176</v>
      </c>
      <c r="L8" s="8">
        <v>87</v>
      </c>
      <c r="M8" s="8">
        <v>112</v>
      </c>
      <c r="N8" s="8">
        <v>113</v>
      </c>
      <c r="AF8" s="8">
        <f>+AF6-AF7</f>
        <v>358</v>
      </c>
      <c r="AG8" s="8">
        <f>+AG6-AG7</f>
        <v>412</v>
      </c>
    </row>
    <row r="9" spans="1:48" s="8" customFormat="1" x14ac:dyDescent="0.2">
      <c r="A9" s="20" t="s">
        <v>111</v>
      </c>
      <c r="G9" s="8">
        <v>10216</v>
      </c>
      <c r="H9" s="8">
        <v>10256</v>
      </c>
      <c r="I9" s="8">
        <v>10347</v>
      </c>
      <c r="J9" s="8">
        <v>10452</v>
      </c>
      <c r="K9" s="8">
        <v>10628</v>
      </c>
      <c r="L9" s="8">
        <v>10715</v>
      </c>
      <c r="M9" s="8">
        <v>10827</v>
      </c>
      <c r="N9" s="8">
        <v>10940</v>
      </c>
      <c r="T9" s="8">
        <f>6707+799</f>
        <v>7506</v>
      </c>
      <c r="U9" s="8">
        <f>6705+836</f>
        <v>7541</v>
      </c>
      <c r="V9" s="8">
        <f>6856+874+53+19</f>
        <v>7802</v>
      </c>
      <c r="W9" s="8">
        <f>7049+940+70+19</f>
        <v>8078</v>
      </c>
      <c r="X9" s="8">
        <f>7303+983+89+20</f>
        <v>8395</v>
      </c>
      <c r="Y9" s="8">
        <f>7559+1009+103</f>
        <v>8671</v>
      </c>
      <c r="Z9" s="8">
        <f>7880+1035+104</f>
        <v>9019</v>
      </c>
      <c r="AA9" s="8">
        <f>8222+1083+108</f>
        <v>9413</v>
      </c>
      <c r="AB9" s="8">
        <f>8575+1109+6</f>
        <v>9690</v>
      </c>
      <c r="AC9" s="8">
        <f>8791+1175+8</f>
        <v>9974</v>
      </c>
      <c r="AD9" s="8">
        <v>10109</v>
      </c>
      <c r="AE9" s="8">
        <v>9861</v>
      </c>
      <c r="AF9" s="8">
        <v>10216</v>
      </c>
      <c r="AG9" s="8">
        <v>10628</v>
      </c>
    </row>
    <row r="10" spans="1:48" s="16" customFormat="1" x14ac:dyDescent="0.2">
      <c r="A10" s="21" t="s">
        <v>11</v>
      </c>
    </row>
    <row r="11" spans="1:48" x14ac:dyDescent="0.2">
      <c r="A11" s="20" t="s">
        <v>109</v>
      </c>
      <c r="AF11" s="3">
        <v>244</v>
      </c>
      <c r="AG11" s="3">
        <v>223</v>
      </c>
    </row>
    <row r="12" spans="1:48" x14ac:dyDescent="0.2">
      <c r="A12" s="20" t="s">
        <v>108</v>
      </c>
      <c r="AF12" s="3">
        <v>133</v>
      </c>
      <c r="AG12" s="3">
        <v>120</v>
      </c>
    </row>
    <row r="13" spans="1:48" s="8" customFormat="1" x14ac:dyDescent="0.2">
      <c r="A13" s="20" t="s">
        <v>113</v>
      </c>
      <c r="G13" s="8">
        <v>79</v>
      </c>
      <c r="H13" s="8">
        <v>46</v>
      </c>
      <c r="I13" s="8">
        <v>10</v>
      </c>
      <c r="J13" s="8">
        <v>5</v>
      </c>
      <c r="K13" s="8">
        <v>42</v>
      </c>
      <c r="L13" s="8">
        <v>34</v>
      </c>
      <c r="M13" s="8">
        <v>22</v>
      </c>
      <c r="N13" s="8">
        <v>20</v>
      </c>
      <c r="AF13" s="8">
        <f>+AF11-AF12</f>
        <v>111</v>
      </c>
      <c r="AG13" s="8">
        <f>+AG11-AG12</f>
        <v>103</v>
      </c>
    </row>
    <row r="14" spans="1:48" s="8" customFormat="1" x14ac:dyDescent="0.2">
      <c r="A14" s="20" t="s">
        <v>112</v>
      </c>
      <c r="G14" s="8">
        <v>7079</v>
      </c>
      <c r="H14" s="8">
        <v>7125</v>
      </c>
      <c r="I14" s="8">
        <v>7135</v>
      </c>
      <c r="J14" s="8">
        <v>7140</v>
      </c>
      <c r="K14" s="8">
        <v>7182</v>
      </c>
      <c r="L14" s="8">
        <v>7216</v>
      </c>
      <c r="M14" s="8">
        <v>7238</v>
      </c>
      <c r="N14" s="8">
        <v>7258</v>
      </c>
      <c r="U14" s="8">
        <f>4082+284+318+92</f>
        <v>4776</v>
      </c>
      <c r="V14" s="8">
        <f>4189+300+356+166</f>
        <v>5011</v>
      </c>
      <c r="W14" s="8">
        <f>4408+397+403+207</f>
        <v>5415</v>
      </c>
      <c r="X14" s="8">
        <f>4659+462+434+241</f>
        <v>5796</v>
      </c>
      <c r="Y14" s="8">
        <f>4962+349+506+315</f>
        <v>6132</v>
      </c>
      <c r="Z14" s="8">
        <f>5292+364+563+369</f>
        <v>6588</v>
      </c>
      <c r="AA14" s="8">
        <f>5708+632+632+429</f>
        <v>7401</v>
      </c>
      <c r="AB14" s="8">
        <f>6031+409+708+622</f>
        <v>7770</v>
      </c>
      <c r="AC14" s="8">
        <f>6250+432+748+663</f>
        <v>8093</v>
      </c>
      <c r="AD14" s="8">
        <v>6831</v>
      </c>
      <c r="AE14" s="8">
        <v>6965</v>
      </c>
      <c r="AF14" s="8">
        <v>6608</v>
      </c>
      <c r="AG14" s="8">
        <v>6701</v>
      </c>
    </row>
    <row r="15" spans="1:48" x14ac:dyDescent="0.2">
      <c r="A15" s="3" t="s">
        <v>114</v>
      </c>
      <c r="AG15" s="3">
        <f>+AG8+AG13</f>
        <v>515</v>
      </c>
    </row>
    <row r="16" spans="1:48" s="26" customFormat="1" x14ac:dyDescent="0.2">
      <c r="A16" s="11" t="s">
        <v>94</v>
      </c>
      <c r="F16" s="26">
        <f>+F33</f>
        <v>17050</v>
      </c>
      <c r="G16" s="26">
        <f t="shared" ref="G16:N16" si="2">+SUM(G9:G14)</f>
        <v>17374</v>
      </c>
      <c r="H16" s="26">
        <f t="shared" si="2"/>
        <v>17427</v>
      </c>
      <c r="I16" s="26">
        <f t="shared" si="2"/>
        <v>17492</v>
      </c>
      <c r="J16" s="26">
        <f t="shared" si="2"/>
        <v>17597</v>
      </c>
      <c r="K16" s="26">
        <f t="shared" si="2"/>
        <v>17852</v>
      </c>
      <c r="L16" s="26">
        <f t="shared" si="2"/>
        <v>17965</v>
      </c>
      <c r="M16" s="26">
        <f t="shared" si="2"/>
        <v>18087</v>
      </c>
      <c r="N16" s="26">
        <f t="shared" si="2"/>
        <v>18218</v>
      </c>
      <c r="T16" s="26">
        <f t="shared" ref="T16:AG16" si="3">+SUM(T9:T14)</f>
        <v>7506</v>
      </c>
      <c r="U16" s="26">
        <f t="shared" si="3"/>
        <v>12317</v>
      </c>
      <c r="V16" s="26">
        <f t="shared" si="3"/>
        <v>12813</v>
      </c>
      <c r="W16" s="26">
        <f t="shared" si="3"/>
        <v>13493</v>
      </c>
      <c r="X16" s="26">
        <f t="shared" si="3"/>
        <v>14191</v>
      </c>
      <c r="Y16" s="26">
        <f t="shared" si="3"/>
        <v>14803</v>
      </c>
      <c r="Z16" s="26">
        <f t="shared" si="3"/>
        <v>15607</v>
      </c>
      <c r="AA16" s="26">
        <f t="shared" si="3"/>
        <v>16814</v>
      </c>
      <c r="AB16" s="26">
        <f t="shared" si="3"/>
        <v>17460</v>
      </c>
      <c r="AC16" s="26">
        <f t="shared" si="3"/>
        <v>18067</v>
      </c>
      <c r="AD16" s="26">
        <f t="shared" si="3"/>
        <v>16940</v>
      </c>
      <c r="AE16" s="26">
        <f t="shared" si="3"/>
        <v>16826</v>
      </c>
      <c r="AF16" s="26">
        <f t="shared" si="3"/>
        <v>17312</v>
      </c>
      <c r="AG16" s="26">
        <f t="shared" si="3"/>
        <v>17775</v>
      </c>
    </row>
    <row r="17" spans="1:33" s="23" customFormat="1" x14ac:dyDescent="0.2">
      <c r="A17" s="22" t="s">
        <v>90</v>
      </c>
    </row>
    <row r="18" spans="1:33" s="8" customFormat="1" x14ac:dyDescent="0.2">
      <c r="A18" s="3" t="s">
        <v>93</v>
      </c>
      <c r="G18" s="8">
        <v>320</v>
      </c>
      <c r="H18" s="8">
        <v>97</v>
      </c>
      <c r="I18" s="8">
        <v>174</v>
      </c>
      <c r="J18" s="8">
        <v>272</v>
      </c>
      <c r="K18" s="8">
        <v>384</v>
      </c>
      <c r="L18" s="8">
        <v>186</v>
      </c>
      <c r="M18" s="8">
        <v>132</v>
      </c>
      <c r="N18" s="8">
        <v>244</v>
      </c>
    </row>
    <row r="19" spans="1:33" s="8" customFormat="1" x14ac:dyDescent="0.2">
      <c r="A19" s="3" t="s">
        <v>92</v>
      </c>
      <c r="G19" s="8">
        <v>198</v>
      </c>
      <c r="H19" s="8">
        <v>276</v>
      </c>
      <c r="I19" s="8">
        <v>189</v>
      </c>
      <c r="J19" s="8">
        <v>206</v>
      </c>
      <c r="K19" s="8">
        <v>214</v>
      </c>
      <c r="L19" s="8">
        <v>242</v>
      </c>
      <c r="M19" s="8">
        <v>98</v>
      </c>
      <c r="N19" s="8">
        <v>149</v>
      </c>
    </row>
    <row r="20" spans="1:33" s="8" customFormat="1" x14ac:dyDescent="0.2">
      <c r="A20" s="3" t="s">
        <v>91</v>
      </c>
      <c r="G20" s="8">
        <f t="shared" ref="G20:N20" si="4">+SUM(G18:G19)</f>
        <v>518</v>
      </c>
      <c r="H20" s="8">
        <f t="shared" si="4"/>
        <v>373</v>
      </c>
      <c r="I20" s="8">
        <f t="shared" si="4"/>
        <v>363</v>
      </c>
      <c r="J20" s="8">
        <f t="shared" si="4"/>
        <v>478</v>
      </c>
      <c r="K20" s="8">
        <f t="shared" si="4"/>
        <v>598</v>
      </c>
      <c r="L20" s="8">
        <f t="shared" si="4"/>
        <v>428</v>
      </c>
      <c r="M20" s="8">
        <f t="shared" si="4"/>
        <v>230</v>
      </c>
      <c r="N20" s="8">
        <f t="shared" si="4"/>
        <v>393</v>
      </c>
      <c r="V20" s="8">
        <f>+V21-U21</f>
        <v>-764</v>
      </c>
      <c r="W20" s="8">
        <f t="shared" ref="W20:AA20" si="5">+W21-V21</f>
        <v>554</v>
      </c>
      <c r="X20" s="8">
        <f t="shared" si="5"/>
        <v>202</v>
      </c>
      <c r="Y20" s="8">
        <f t="shared" si="5"/>
        <v>1246</v>
      </c>
      <c r="Z20" s="8">
        <f t="shared" si="5"/>
        <v>128</v>
      </c>
      <c r="AA20" s="8">
        <f t="shared" si="5"/>
        <v>170</v>
      </c>
      <c r="AB20" s="8">
        <f>+AB21-AA21</f>
        <v>1789</v>
      </c>
      <c r="AC20" s="8">
        <f>+AC21-AB21</f>
        <v>209</v>
      </c>
      <c r="AD20" s="8">
        <f t="shared" ref="AD20" si="6">+AD21-AC21</f>
        <v>668</v>
      </c>
      <c r="AE20" s="8">
        <f t="shared" ref="AE20" si="7">+AE21-AD21</f>
        <v>744</v>
      </c>
      <c r="AF20" s="8">
        <f t="shared" ref="AF20" si="8">+AF21-AE21</f>
        <v>765</v>
      </c>
      <c r="AG20" s="8">
        <f t="shared" ref="AG20" si="9">+AG21-AF21</f>
        <v>927</v>
      </c>
    </row>
    <row r="21" spans="1:33" s="8" customFormat="1" x14ac:dyDescent="0.2">
      <c r="A21" s="3" t="s">
        <v>89</v>
      </c>
      <c r="G21" s="8">
        <v>8037</v>
      </c>
      <c r="H21" s="8">
        <v>8134</v>
      </c>
      <c r="I21" s="8">
        <v>8308</v>
      </c>
      <c r="J21" s="8">
        <v>8580</v>
      </c>
      <c r="K21" s="8">
        <v>8964</v>
      </c>
      <c r="L21" s="8">
        <v>9150</v>
      </c>
      <c r="M21" s="8">
        <v>9282</v>
      </c>
      <c r="N21" s="8">
        <v>9526</v>
      </c>
      <c r="T21" s="8">
        <v>2182</v>
      </c>
      <c r="U21" s="8">
        <v>2326</v>
      </c>
      <c r="V21" s="8">
        <f t="shared" ref="V21:AG21" si="10">+V26-V9</f>
        <v>1562</v>
      </c>
      <c r="W21" s="8">
        <f t="shared" si="10"/>
        <v>2116</v>
      </c>
      <c r="X21" s="8">
        <f t="shared" si="10"/>
        <v>2318</v>
      </c>
      <c r="Y21" s="8">
        <f t="shared" si="10"/>
        <v>3564</v>
      </c>
      <c r="Z21" s="8">
        <f t="shared" si="10"/>
        <v>3692</v>
      </c>
      <c r="AA21" s="8">
        <f t="shared" si="10"/>
        <v>3862</v>
      </c>
      <c r="AB21" s="8">
        <f t="shared" si="10"/>
        <v>5651</v>
      </c>
      <c r="AC21" s="8">
        <f t="shared" si="10"/>
        <v>5860</v>
      </c>
      <c r="AD21" s="8">
        <f t="shared" si="10"/>
        <v>6528</v>
      </c>
      <c r="AE21" s="8">
        <f t="shared" si="10"/>
        <v>7272</v>
      </c>
      <c r="AF21" s="8">
        <f t="shared" si="10"/>
        <v>8037</v>
      </c>
      <c r="AG21" s="8">
        <f t="shared" si="10"/>
        <v>8964</v>
      </c>
    </row>
    <row r="22" spans="1:33" s="8" customFormat="1" x14ac:dyDescent="0.2">
      <c r="A22" s="3" t="s">
        <v>11</v>
      </c>
      <c r="G22" s="8">
        <v>10379</v>
      </c>
      <c r="H22" s="8">
        <v>10655</v>
      </c>
      <c r="I22" s="8">
        <v>10844</v>
      </c>
      <c r="J22" s="8">
        <v>11050</v>
      </c>
      <c r="K22" s="8">
        <v>11264</v>
      </c>
      <c r="L22" s="8">
        <v>11506</v>
      </c>
      <c r="M22" s="8">
        <v>11604</v>
      </c>
      <c r="N22" s="8">
        <v>11753</v>
      </c>
      <c r="U22" s="8">
        <v>3890</v>
      </c>
      <c r="V22" s="8">
        <f t="shared" ref="V22:AG22" si="11">+V27-V14</f>
        <v>3691</v>
      </c>
      <c r="W22" s="8">
        <f t="shared" si="11"/>
        <v>4158</v>
      </c>
      <c r="X22" s="8">
        <f t="shared" si="11"/>
        <v>4857</v>
      </c>
      <c r="Y22" s="8">
        <f t="shared" si="11"/>
        <v>4676</v>
      </c>
      <c r="Z22" s="8">
        <f t="shared" si="11"/>
        <v>5786</v>
      </c>
      <c r="AA22" s="8">
        <f t="shared" si="11"/>
        <v>6663</v>
      </c>
      <c r="AB22" s="8">
        <f t="shared" si="11"/>
        <v>6213</v>
      </c>
      <c r="AC22" s="8">
        <f t="shared" si="11"/>
        <v>7329</v>
      </c>
      <c r="AD22" s="8">
        <f t="shared" si="11"/>
        <v>9192</v>
      </c>
      <c r="AE22" s="8">
        <f t="shared" si="11"/>
        <v>9735</v>
      </c>
      <c r="AF22" s="8">
        <f t="shared" si="11"/>
        <v>10850</v>
      </c>
      <c r="AG22" s="8">
        <f t="shared" si="11"/>
        <v>11745</v>
      </c>
    </row>
    <row r="23" spans="1:33" s="26" customFormat="1" x14ac:dyDescent="0.2">
      <c r="A23" s="11" t="s">
        <v>94</v>
      </c>
      <c r="G23" s="26">
        <f t="shared" ref="G23:N23" si="12">+SUM(G21:G22)</f>
        <v>18416</v>
      </c>
      <c r="H23" s="26">
        <f t="shared" si="12"/>
        <v>18789</v>
      </c>
      <c r="I23" s="26">
        <f t="shared" si="12"/>
        <v>19152</v>
      </c>
      <c r="J23" s="26">
        <f t="shared" si="12"/>
        <v>19630</v>
      </c>
      <c r="K23" s="26">
        <f t="shared" si="12"/>
        <v>20228</v>
      </c>
      <c r="L23" s="26">
        <f t="shared" si="12"/>
        <v>20656</v>
      </c>
      <c r="M23" s="26">
        <f t="shared" si="12"/>
        <v>20886</v>
      </c>
      <c r="N23" s="26">
        <f t="shared" si="12"/>
        <v>21279</v>
      </c>
      <c r="T23" s="26">
        <f>+SUM(T21:T22)</f>
        <v>2182</v>
      </c>
      <c r="U23" s="26">
        <f>+SUM(U21:U22)</f>
        <v>6216</v>
      </c>
      <c r="V23" s="26">
        <f>+SUM(V21:V22)</f>
        <v>5253</v>
      </c>
      <c r="W23" s="26">
        <f>+SUM(W21:W22)</f>
        <v>6274</v>
      </c>
      <c r="X23" s="26">
        <f t="shared" ref="X23:Z23" si="13">+SUM(X21:X22)</f>
        <v>7175</v>
      </c>
      <c r="Y23" s="26">
        <f t="shared" si="13"/>
        <v>8240</v>
      </c>
      <c r="Z23" s="26">
        <f t="shared" si="13"/>
        <v>9478</v>
      </c>
      <c r="AA23" s="26">
        <f t="shared" ref="AA23" si="14">+SUM(AA21:AA22)</f>
        <v>10525</v>
      </c>
      <c r="AB23" s="26">
        <f t="shared" ref="AB23:AC23" si="15">+SUM(AB21:AB22)</f>
        <v>11864</v>
      </c>
      <c r="AC23" s="26">
        <f t="shared" si="15"/>
        <v>13189</v>
      </c>
      <c r="AD23" s="26">
        <f>+SUM(AD21:AD22)</f>
        <v>15720</v>
      </c>
      <c r="AE23" s="26">
        <f t="shared" ref="AE23" si="16">+SUM(AE21:AE22)</f>
        <v>17007</v>
      </c>
      <c r="AF23" s="26">
        <f t="shared" ref="AF23" si="17">+SUM(AF21:AF22)</f>
        <v>18887</v>
      </c>
      <c r="AG23" s="26">
        <f t="shared" ref="AG23" si="18">+SUM(AG21:AG22)</f>
        <v>20709</v>
      </c>
    </row>
    <row r="24" spans="1:33" s="24" customFormat="1" x14ac:dyDescent="0.2">
      <c r="A24" s="22" t="s">
        <v>81</v>
      </c>
    </row>
    <row r="25" spans="1:33" s="8" customFormat="1" x14ac:dyDescent="0.2">
      <c r="A25" s="3" t="s">
        <v>91</v>
      </c>
      <c r="G25" s="8" t="e">
        <f>+G20+#REF!</f>
        <v>#REF!</v>
      </c>
      <c r="H25" s="8" t="e">
        <f>+H20+#REF!</f>
        <v>#REF!</v>
      </c>
      <c r="I25" s="8" t="e">
        <f>+I20+#REF!</f>
        <v>#REF!</v>
      </c>
      <c r="J25" s="8" t="e">
        <f>+J20+#REF!</f>
        <v>#REF!</v>
      </c>
      <c r="K25" s="8" t="e">
        <f>+K20+#REF!</f>
        <v>#REF!</v>
      </c>
      <c r="L25" s="8" t="e">
        <f>+L20+#REF!</f>
        <v>#REF!</v>
      </c>
      <c r="M25" s="8" t="e">
        <f>+M20+#REF!</f>
        <v>#REF!</v>
      </c>
      <c r="N25" s="8" t="e">
        <f>+N20+#REF!</f>
        <v>#REF!</v>
      </c>
    </row>
    <row r="26" spans="1:33" s="8" customFormat="1" x14ac:dyDescent="0.2">
      <c r="A26" s="3" t="s">
        <v>89</v>
      </c>
      <c r="G26" s="8">
        <f t="shared" ref="G26:N26" si="19">+G9+G21</f>
        <v>18253</v>
      </c>
      <c r="H26" s="8">
        <f t="shared" si="19"/>
        <v>18390</v>
      </c>
      <c r="I26" s="8">
        <f t="shared" si="19"/>
        <v>18655</v>
      </c>
      <c r="J26" s="8">
        <f t="shared" si="19"/>
        <v>19032</v>
      </c>
      <c r="K26" s="8">
        <f t="shared" si="19"/>
        <v>19592</v>
      </c>
      <c r="L26" s="8">
        <f t="shared" si="19"/>
        <v>19865</v>
      </c>
      <c r="M26" s="8">
        <f t="shared" si="19"/>
        <v>20109</v>
      </c>
      <c r="N26" s="8">
        <f t="shared" si="19"/>
        <v>20466</v>
      </c>
      <c r="T26" s="8">
        <f>+T9+T21</f>
        <v>9688</v>
      </c>
      <c r="U26" s="8">
        <f>+U9+U21</f>
        <v>9867</v>
      </c>
      <c r="V26" s="8">
        <v>9364</v>
      </c>
      <c r="W26" s="8">
        <v>10194</v>
      </c>
      <c r="X26" s="8">
        <v>10713</v>
      </c>
      <c r="Y26" s="8">
        <v>12235</v>
      </c>
      <c r="Z26" s="8">
        <v>12711</v>
      </c>
      <c r="AA26" s="8">
        <v>13275</v>
      </c>
      <c r="AB26" s="8">
        <v>15341</v>
      </c>
      <c r="AC26" s="8">
        <v>15834</v>
      </c>
      <c r="AD26" s="8">
        <v>16637</v>
      </c>
      <c r="AE26" s="8">
        <v>17133</v>
      </c>
      <c r="AF26" s="8">
        <v>18253</v>
      </c>
      <c r="AG26" s="8">
        <v>19592</v>
      </c>
    </row>
    <row r="27" spans="1:33" s="8" customFormat="1" x14ac:dyDescent="0.2">
      <c r="A27" s="3" t="s">
        <v>11</v>
      </c>
      <c r="G27" s="8">
        <f t="shared" ref="G27:N27" si="20">+G14+G22</f>
        <v>17458</v>
      </c>
      <c r="H27" s="8">
        <f t="shared" si="20"/>
        <v>17780</v>
      </c>
      <c r="I27" s="8">
        <f t="shared" si="20"/>
        <v>17979</v>
      </c>
      <c r="J27" s="8">
        <f t="shared" si="20"/>
        <v>18190</v>
      </c>
      <c r="K27" s="8">
        <f t="shared" si="20"/>
        <v>18446</v>
      </c>
      <c r="L27" s="8">
        <f t="shared" si="20"/>
        <v>18722</v>
      </c>
      <c r="M27" s="8">
        <f t="shared" si="20"/>
        <v>18842</v>
      </c>
      <c r="N27" s="8">
        <f t="shared" si="20"/>
        <v>19011</v>
      </c>
      <c r="T27" s="8">
        <f>+T14+T22</f>
        <v>0</v>
      </c>
      <c r="U27" s="8">
        <f>+U14+U22</f>
        <v>8666</v>
      </c>
      <c r="V27" s="8">
        <v>8702</v>
      </c>
      <c r="W27" s="8">
        <v>9573</v>
      </c>
      <c r="X27" s="8">
        <v>10653</v>
      </c>
      <c r="Y27" s="8">
        <v>10808</v>
      </c>
      <c r="Z27" s="8">
        <v>12374</v>
      </c>
      <c r="AA27" s="8">
        <v>14064</v>
      </c>
      <c r="AB27" s="8">
        <v>13983</v>
      </c>
      <c r="AC27" s="8">
        <v>15422</v>
      </c>
      <c r="AD27" s="8">
        <v>16023</v>
      </c>
      <c r="AE27" s="8">
        <v>16700</v>
      </c>
      <c r="AF27" s="8">
        <v>17458</v>
      </c>
      <c r="AG27" s="8">
        <v>18446</v>
      </c>
    </row>
    <row r="28" spans="1:33" s="26" customFormat="1" x14ac:dyDescent="0.2">
      <c r="A28" s="11" t="s">
        <v>94</v>
      </c>
      <c r="G28" s="26">
        <f t="shared" ref="G28:K28" si="21">+G16+G23</f>
        <v>35790</v>
      </c>
      <c r="H28" s="26">
        <f t="shared" si="21"/>
        <v>36216</v>
      </c>
      <c r="I28" s="26">
        <f t="shared" si="21"/>
        <v>36644</v>
      </c>
      <c r="J28" s="26">
        <f t="shared" si="21"/>
        <v>37227</v>
      </c>
      <c r="K28" s="26">
        <f t="shared" si="21"/>
        <v>38080</v>
      </c>
      <c r="L28" s="26">
        <f t="shared" ref="L28:N28" si="22">+L16+L23</f>
        <v>38621</v>
      </c>
      <c r="M28" s="26">
        <f t="shared" si="22"/>
        <v>38973</v>
      </c>
      <c r="N28" s="26">
        <f t="shared" si="22"/>
        <v>39497</v>
      </c>
      <c r="T28" s="26">
        <f t="shared" ref="T28:Z28" si="23">+T16+T23</f>
        <v>9688</v>
      </c>
      <c r="U28" s="26">
        <f t="shared" si="23"/>
        <v>18533</v>
      </c>
      <c r="V28" s="26">
        <f t="shared" si="23"/>
        <v>18066</v>
      </c>
      <c r="W28" s="26">
        <f t="shared" si="23"/>
        <v>19767</v>
      </c>
      <c r="X28" s="26">
        <f t="shared" si="23"/>
        <v>21366</v>
      </c>
      <c r="Y28" s="26">
        <f t="shared" si="23"/>
        <v>23043</v>
      </c>
      <c r="Z28" s="26">
        <f t="shared" si="23"/>
        <v>25085</v>
      </c>
      <c r="AA28" s="26">
        <f t="shared" ref="AA28:AG28" si="24">+AA16+AA23</f>
        <v>27339</v>
      </c>
      <c r="AB28" s="26">
        <f t="shared" si="24"/>
        <v>29324</v>
      </c>
      <c r="AC28" s="26">
        <f t="shared" si="24"/>
        <v>31256</v>
      </c>
      <c r="AD28" s="26">
        <f>+AD16+AD23</f>
        <v>32660</v>
      </c>
      <c r="AE28" s="26">
        <f t="shared" si="24"/>
        <v>33833</v>
      </c>
      <c r="AF28" s="26">
        <f t="shared" si="24"/>
        <v>36199</v>
      </c>
      <c r="AG28" s="26">
        <f t="shared" si="24"/>
        <v>38484</v>
      </c>
    </row>
    <row r="29" spans="1:33" s="24" customFormat="1" x14ac:dyDescent="0.2">
      <c r="A29" s="22" t="s">
        <v>82</v>
      </c>
      <c r="N29" s="25"/>
      <c r="O29" s="25"/>
      <c r="P29" s="25"/>
    </row>
    <row r="30" spans="1:33" s="8" customFormat="1" x14ac:dyDescent="0.2">
      <c r="A30" s="3" t="s">
        <v>83</v>
      </c>
      <c r="F30" s="8">
        <v>0.09</v>
      </c>
      <c r="G30" s="8">
        <v>0.11</v>
      </c>
      <c r="H30" s="8">
        <v>0.1</v>
      </c>
      <c r="I30" s="8">
        <v>0.12</v>
      </c>
      <c r="J30" s="9"/>
      <c r="K30" s="8">
        <v>0.08</v>
      </c>
      <c r="L30" s="8">
        <v>0.05</v>
      </c>
      <c r="M30" s="8">
        <v>-0.03</v>
      </c>
      <c r="N30" s="9"/>
      <c r="O30" s="3"/>
      <c r="P30" s="3"/>
    </row>
    <row r="31" spans="1:33" s="8" customFormat="1" x14ac:dyDescent="0.2">
      <c r="A31" s="3" t="s">
        <v>84</v>
      </c>
      <c r="F31" s="8">
        <v>0.01</v>
      </c>
      <c r="G31" s="8">
        <v>0.01</v>
      </c>
      <c r="H31" s="8">
        <v>0.01</v>
      </c>
      <c r="I31" s="8">
        <v>0.06</v>
      </c>
      <c r="J31" s="8">
        <v>0.01</v>
      </c>
      <c r="K31" s="8">
        <v>0.02</v>
      </c>
      <c r="L31" s="8">
        <v>0.01</v>
      </c>
      <c r="M31" s="8">
        <v>-7.0000000000000007E-2</v>
      </c>
      <c r="N31" s="3">
        <v>-0.06</v>
      </c>
      <c r="O31" s="3"/>
      <c r="P31" s="3"/>
    </row>
    <row r="32" spans="1:33" s="8" customFormat="1" x14ac:dyDescent="0.2">
      <c r="A32" s="3" t="s">
        <v>85</v>
      </c>
      <c r="F32" s="8">
        <v>0.08</v>
      </c>
      <c r="G32" s="8">
        <v>0.1</v>
      </c>
      <c r="H32" s="8">
        <v>0.09</v>
      </c>
      <c r="I32" s="8">
        <v>0.05</v>
      </c>
      <c r="J32" s="8">
        <v>0.06</v>
      </c>
      <c r="K32" s="8">
        <v>0.06</v>
      </c>
      <c r="L32" s="8">
        <v>0.04</v>
      </c>
      <c r="M32" s="8">
        <v>0.04</v>
      </c>
      <c r="N32" s="3">
        <v>0.03</v>
      </c>
      <c r="O32" s="3"/>
      <c r="P32" s="3"/>
    </row>
    <row r="33" spans="1:51" s="8" customFormat="1" x14ac:dyDescent="0.2">
      <c r="A33" s="3" t="s">
        <v>86</v>
      </c>
      <c r="F33" s="8">
        <v>17050</v>
      </c>
      <c r="G33" s="8">
        <f t="shared" ref="G33:M33" si="25">+G16</f>
        <v>17374</v>
      </c>
      <c r="H33" s="8">
        <f t="shared" si="25"/>
        <v>17427</v>
      </c>
      <c r="I33" s="8">
        <f t="shared" si="25"/>
        <v>17492</v>
      </c>
      <c r="J33" s="8">
        <f t="shared" si="25"/>
        <v>17597</v>
      </c>
      <c r="K33" s="8">
        <f t="shared" si="25"/>
        <v>17852</v>
      </c>
      <c r="L33" s="8">
        <f t="shared" si="25"/>
        <v>17965</v>
      </c>
      <c r="M33" s="8">
        <f t="shared" si="25"/>
        <v>18087</v>
      </c>
      <c r="N33" s="3">
        <v>18198</v>
      </c>
      <c r="O33" s="3"/>
      <c r="P33" s="3"/>
      <c r="U33" s="8">
        <f t="shared" ref="U33:Z33" si="26">+U16</f>
        <v>12317</v>
      </c>
      <c r="V33" s="8">
        <f t="shared" si="26"/>
        <v>12813</v>
      </c>
      <c r="W33" s="8">
        <f t="shared" si="26"/>
        <v>13493</v>
      </c>
      <c r="X33" s="8">
        <f t="shared" si="26"/>
        <v>14191</v>
      </c>
      <c r="Y33" s="8">
        <f t="shared" si="26"/>
        <v>14803</v>
      </c>
      <c r="Z33" s="8">
        <f t="shared" si="26"/>
        <v>15607</v>
      </c>
      <c r="AA33" s="8">
        <f t="shared" ref="AA33:AF33" si="27">+AA16</f>
        <v>16814</v>
      </c>
      <c r="AB33" s="8">
        <f t="shared" si="27"/>
        <v>17460</v>
      </c>
      <c r="AC33" s="8">
        <f t="shared" si="27"/>
        <v>18067</v>
      </c>
      <c r="AD33" s="8">
        <f t="shared" si="27"/>
        <v>16940</v>
      </c>
      <c r="AE33" s="8">
        <f t="shared" si="27"/>
        <v>16826</v>
      </c>
      <c r="AF33" s="8">
        <f t="shared" si="27"/>
        <v>17312</v>
      </c>
      <c r="AG33" s="8">
        <f>+AG16</f>
        <v>17775</v>
      </c>
    </row>
    <row r="34" spans="1:51" s="8" customFormat="1" x14ac:dyDescent="0.2">
      <c r="A34" s="3" t="s">
        <v>87</v>
      </c>
      <c r="F34" s="8">
        <v>6058.4</v>
      </c>
      <c r="G34" s="8">
        <v>6134.4</v>
      </c>
      <c r="H34" s="8">
        <v>6551.3</v>
      </c>
      <c r="I34" s="8">
        <v>6280.6</v>
      </c>
      <c r="J34" s="8">
        <v>6737.8</v>
      </c>
      <c r="K34" s="8">
        <v>6900</v>
      </c>
      <c r="L34" s="8">
        <v>7120.7</v>
      </c>
      <c r="M34" s="8">
        <v>6380</v>
      </c>
      <c r="N34" s="3">
        <v>6816.7</v>
      </c>
      <c r="O34" s="3"/>
      <c r="P34" s="3"/>
      <c r="T34" s="8">
        <v>7560.4</v>
      </c>
      <c r="U34" s="8">
        <v>8038</v>
      </c>
      <c r="V34" s="8">
        <v>9936</v>
      </c>
      <c r="W34" s="8">
        <v>11000.8</v>
      </c>
      <c r="X34" s="8">
        <v>11980.5</v>
      </c>
      <c r="Y34" s="8">
        <v>13293.4</v>
      </c>
      <c r="Z34" s="8">
        <v>14795.4</v>
      </c>
      <c r="AA34" s="8">
        <v>15620</v>
      </c>
      <c r="AB34" s="8">
        <v>16748.599999999999</v>
      </c>
      <c r="AC34" s="8">
        <v>18259</v>
      </c>
      <c r="AD34" s="8">
        <v>16296.2</v>
      </c>
      <c r="AE34" s="8">
        <v>20447.900000000001</v>
      </c>
      <c r="AF34" s="8">
        <v>23370.799999999999</v>
      </c>
      <c r="AG34" s="8">
        <v>26569.599999999999</v>
      </c>
    </row>
    <row r="35" spans="1:51" s="8" customFormat="1" x14ac:dyDescent="0.2">
      <c r="A35" s="3" t="s">
        <v>17</v>
      </c>
      <c r="F35" s="8">
        <v>1330.1</v>
      </c>
      <c r="G35" s="8">
        <v>1141.8</v>
      </c>
      <c r="H35" s="8">
        <v>1212.4000000000001</v>
      </c>
      <c r="I35" s="8">
        <v>1217.9000000000001</v>
      </c>
      <c r="J35" s="8">
        <v>1463.9</v>
      </c>
      <c r="K35" s="8">
        <v>1601.4</v>
      </c>
      <c r="L35" s="8">
        <v>1520.8</v>
      </c>
      <c r="M35" s="8">
        <v>1148.3</v>
      </c>
      <c r="N35" s="3">
        <v>1432.7</v>
      </c>
      <c r="O35" s="3"/>
      <c r="P35" s="3"/>
      <c r="T35" s="8">
        <v>1291.0999999999999</v>
      </c>
      <c r="U35" s="8">
        <v>1562.6</v>
      </c>
      <c r="V35" s="8">
        <v>2020.4</v>
      </c>
      <c r="W35" s="8">
        <v>2365.1999999999998</v>
      </c>
      <c r="X35" s="8">
        <v>2809</v>
      </c>
      <c r="Y35" s="8">
        <v>3223.3</v>
      </c>
      <c r="Z35" s="8">
        <v>3742</v>
      </c>
      <c r="AA35" s="8">
        <v>3653.6</v>
      </c>
      <c r="AB35" s="8">
        <v>3485.2</v>
      </c>
      <c r="AC35" s="8">
        <v>3782.8</v>
      </c>
      <c r="AD35" s="8">
        <v>1801.7</v>
      </c>
      <c r="AE35" s="8">
        <v>4259.3</v>
      </c>
      <c r="AF35" s="8">
        <v>4486.5</v>
      </c>
      <c r="AG35" s="8">
        <v>5495.7</v>
      </c>
    </row>
    <row r="36" spans="1:51" s="15" customFormat="1" x14ac:dyDescent="0.2">
      <c r="A36" s="9" t="s">
        <v>24</v>
      </c>
      <c r="F36" s="15">
        <f t="shared" ref="F36:N36" si="28">+F35/F34</f>
        <v>0.21954641489502177</v>
      </c>
      <c r="G36" s="15">
        <f t="shared" si="28"/>
        <v>0.18613067292644758</v>
      </c>
      <c r="H36" s="15">
        <f t="shared" si="28"/>
        <v>0.1850625066780639</v>
      </c>
      <c r="I36" s="15">
        <f t="shared" si="28"/>
        <v>0.19391459414705603</v>
      </c>
      <c r="J36" s="15">
        <f t="shared" si="28"/>
        <v>0.21726676363204608</v>
      </c>
      <c r="K36" s="15">
        <f t="shared" si="28"/>
        <v>0.23208695652173914</v>
      </c>
      <c r="L36" s="15">
        <f t="shared" si="28"/>
        <v>0.21357450812420128</v>
      </c>
      <c r="M36" s="15">
        <f t="shared" si="28"/>
        <v>0.17998432601880876</v>
      </c>
      <c r="N36" s="15">
        <f t="shared" si="28"/>
        <v>0.21017501136913758</v>
      </c>
      <c r="U36" s="15">
        <f>+U35/U34</f>
        <v>0.19440159243592933</v>
      </c>
      <c r="V36" s="15">
        <f t="shared" ref="V36:AG36" si="29">+V35/V34</f>
        <v>0.203341384863124</v>
      </c>
      <c r="W36" s="15">
        <f t="shared" si="29"/>
        <v>0.21500254526943494</v>
      </c>
      <c r="X36" s="15">
        <f t="shared" si="29"/>
        <v>0.23446433788239221</v>
      </c>
      <c r="Y36" s="15">
        <f t="shared" si="29"/>
        <v>0.24247370875772942</v>
      </c>
      <c r="Z36" s="15">
        <f t="shared" si="29"/>
        <v>0.25291644700379851</v>
      </c>
      <c r="AA36" s="15">
        <f t="shared" si="29"/>
        <v>0.23390524967989756</v>
      </c>
      <c r="AB36" s="15">
        <f t="shared" si="29"/>
        <v>0.2080890343073451</v>
      </c>
      <c r="AC36" s="15">
        <f t="shared" si="29"/>
        <v>0.20717454406046334</v>
      </c>
      <c r="AD36" s="15">
        <f t="shared" si="29"/>
        <v>0.11055951694260012</v>
      </c>
      <c r="AE36" s="15">
        <f t="shared" si="29"/>
        <v>0.20830011883860933</v>
      </c>
      <c r="AF36" s="15">
        <f t="shared" si="29"/>
        <v>0.19197032194019889</v>
      </c>
      <c r="AG36" s="15">
        <f t="shared" si="29"/>
        <v>0.20684165361917381</v>
      </c>
    </row>
    <row r="37" spans="1:51" s="8" customFormat="1" x14ac:dyDescent="0.2">
      <c r="A37" s="4" t="s">
        <v>101</v>
      </c>
      <c r="F37" s="3">
        <f>+F34/F16*1000</f>
        <v>355.33137829912022</v>
      </c>
      <c r="G37" s="3">
        <f>+G34/G16*1000</f>
        <v>353.07931391734775</v>
      </c>
      <c r="H37" s="3">
        <f t="shared" ref="H37:M37" si="30">+H34/H16*1000</f>
        <v>375.92815745681992</v>
      </c>
      <c r="I37" s="3">
        <f t="shared" si="30"/>
        <v>359.0555682597759</v>
      </c>
      <c r="J37" s="3">
        <f t="shared" si="30"/>
        <v>382.89481161561628</v>
      </c>
      <c r="K37" s="3">
        <f t="shared" si="30"/>
        <v>386.51131525879453</v>
      </c>
      <c r="L37" s="3">
        <f t="shared" si="30"/>
        <v>396.36515446701918</v>
      </c>
      <c r="M37" s="3">
        <f t="shared" si="30"/>
        <v>352.73953668380602</v>
      </c>
      <c r="N37" s="3">
        <f>+N34/N16*1000</f>
        <v>374.17389395103743</v>
      </c>
      <c r="O37" s="3"/>
      <c r="P37" s="3"/>
      <c r="U37" s="3">
        <f>+U34/U16*1000</f>
        <v>652.59397580579684</v>
      </c>
      <c r="V37" s="3">
        <f>+V34/V16*1000</f>
        <v>775.46242097869356</v>
      </c>
      <c r="W37" s="3">
        <f t="shared" ref="W37:AF37" si="31">+W34/W16*1000</f>
        <v>815.29682057363073</v>
      </c>
      <c r="X37" s="3">
        <f t="shared" si="31"/>
        <v>844.23225988302443</v>
      </c>
      <c r="Y37" s="3">
        <f t="shared" si="31"/>
        <v>898.02067148550964</v>
      </c>
      <c r="Z37" s="3">
        <f t="shared" si="31"/>
        <v>947.99769334273071</v>
      </c>
      <c r="AA37" s="3">
        <f t="shared" si="31"/>
        <v>928.98774830498394</v>
      </c>
      <c r="AB37" s="3">
        <f t="shared" si="31"/>
        <v>959.25544100801835</v>
      </c>
      <c r="AC37" s="3">
        <f t="shared" si="31"/>
        <v>1010.6271102009188</v>
      </c>
      <c r="AD37" s="3">
        <f t="shared" si="31"/>
        <v>961.99527744982299</v>
      </c>
      <c r="AE37" s="3">
        <f t="shared" si="31"/>
        <v>1215.2561511945798</v>
      </c>
      <c r="AF37" s="3">
        <f t="shared" si="31"/>
        <v>1349.9768946395563</v>
      </c>
      <c r="AG37" s="3">
        <f>+AG34/AG16*1000</f>
        <v>1494.7735583684948</v>
      </c>
    </row>
    <row r="38" spans="1:51" s="15" customFormat="1" x14ac:dyDescent="0.2">
      <c r="A38" s="9" t="s">
        <v>103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U38" s="9"/>
      <c r="V38" s="9">
        <f t="shared" ref="V38:AF38" si="32">+V37/U37-1</f>
        <v>0.18827701408242947</v>
      </c>
      <c r="W38" s="9">
        <f t="shared" si="32"/>
        <v>5.1368575081514711E-2</v>
      </c>
      <c r="X38" s="9">
        <f t="shared" si="32"/>
        <v>3.5490680914265216E-2</v>
      </c>
      <c r="Y38" s="9">
        <f t="shared" si="32"/>
        <v>6.3712812407734853E-2</v>
      </c>
      <c r="Z38" s="9">
        <f t="shared" si="32"/>
        <v>5.5652418083593558E-2</v>
      </c>
      <c r="AA38" s="9">
        <f t="shared" si="32"/>
        <v>-2.005273343093894E-2</v>
      </c>
      <c r="AB38" s="9">
        <f t="shared" si="32"/>
        <v>3.258136908507181E-2</v>
      </c>
      <c r="AC38" s="9">
        <f t="shared" si="32"/>
        <v>5.3553690702986545E-2</v>
      </c>
      <c r="AD38" s="9">
        <f t="shared" si="32"/>
        <v>-4.8120451411032716E-2</v>
      </c>
      <c r="AE38" s="9">
        <f t="shared" si="32"/>
        <v>0.26326623392178417</v>
      </c>
      <c r="AF38" s="9">
        <f t="shared" si="32"/>
        <v>0.11085789881626851</v>
      </c>
      <c r="AG38" s="9">
        <f>+AG37/AF37-1</f>
        <v>0.10725862368748107</v>
      </c>
    </row>
    <row r="39" spans="1:51" s="8" customFormat="1" x14ac:dyDescent="0.2">
      <c r="A39" s="4" t="s">
        <v>102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U39" s="3">
        <f>+U35/U16*1000</f>
        <v>126.86530811074122</v>
      </c>
      <c r="V39" s="3">
        <f t="shared" ref="V39:AG39" si="33">+V35/V16*1000</f>
        <v>157.68360259111842</v>
      </c>
      <c r="W39" s="3">
        <f t="shared" si="33"/>
        <v>175.2908915734084</v>
      </c>
      <c r="X39" s="3">
        <f t="shared" si="33"/>
        <v>197.942357832429</v>
      </c>
      <c r="Y39" s="3">
        <f t="shared" si="33"/>
        <v>217.74640275619808</v>
      </c>
      <c r="Z39" s="3">
        <f t="shared" si="33"/>
        <v>239.76420836803999</v>
      </c>
      <c r="AA39" s="3">
        <f t="shared" si="33"/>
        <v>217.29511121684311</v>
      </c>
      <c r="AB39" s="3">
        <f t="shared" si="33"/>
        <v>199.61053837342496</v>
      </c>
      <c r="AC39" s="3">
        <f t="shared" si="33"/>
        <v>209.376210771019</v>
      </c>
      <c r="AD39" s="3">
        <f t="shared" si="33"/>
        <v>106.357733175915</v>
      </c>
      <c r="AE39" s="3">
        <f t="shared" si="33"/>
        <v>253.13800071318198</v>
      </c>
      <c r="AF39" s="3">
        <f t="shared" si="33"/>
        <v>259.15549907578554</v>
      </c>
      <c r="AG39" s="3">
        <f t="shared" si="33"/>
        <v>309.18143459915609</v>
      </c>
    </row>
    <row r="40" spans="1:51" s="8" customFormat="1" x14ac:dyDescent="0.2">
      <c r="A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51" s="8" customFormat="1" x14ac:dyDescent="0.2">
      <c r="A41" s="4" t="s">
        <v>110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U41" s="3" t="e">
        <f>+#REF!*U37/1000</f>
        <v>#REF!</v>
      </c>
      <c r="V41" s="3" t="e">
        <f>+#REF!*V37/1000</f>
        <v>#REF!</v>
      </c>
      <c r="W41" s="3" t="e">
        <f>+#REF!*W37/1000</f>
        <v>#REF!</v>
      </c>
      <c r="X41" s="3" t="e">
        <f>+#REF!*X37/1000</f>
        <v>#REF!</v>
      </c>
      <c r="Y41" s="3" t="e">
        <f>+#REF!*Y37/1000</f>
        <v>#REF!</v>
      </c>
      <c r="Z41" s="3" t="e">
        <f>+#REF!*Z37/1000</f>
        <v>#REF!</v>
      </c>
      <c r="AA41" s="3" t="e">
        <f>+#REF!*AA37/1000</f>
        <v>#REF!</v>
      </c>
      <c r="AB41" s="3" t="e">
        <f>+#REF!*AB37/1000</f>
        <v>#REF!</v>
      </c>
      <c r="AC41" s="3" t="e">
        <f>+#REF!*AC37/1000</f>
        <v>#REF!</v>
      </c>
      <c r="AD41" s="3" t="e">
        <f>+#REF!*AD37/1000</f>
        <v>#REF!</v>
      </c>
      <c r="AE41" s="3" t="e">
        <f>+#REF!*AE37/1000</f>
        <v>#REF!</v>
      </c>
      <c r="AF41" s="3" cm="1">
        <f t="array" ref="AF41">+SUM((AF6:AF7)+(AF11:AF12))*AF37/1000</f>
        <v>1324.3273336414047</v>
      </c>
      <c r="AG41" s="3" cm="1">
        <f t="array" ref="AG41">+SUM((AG6:AG7)+(AG11:AG12))*AG37/1000</f>
        <v>1472.3519549929674</v>
      </c>
    </row>
    <row r="42" spans="1:51" s="8" customFormat="1" x14ac:dyDescent="0.2">
      <c r="A42" s="4" t="s">
        <v>107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>
        <f>+AF34-AF41</f>
        <v>22046.472666358593</v>
      </c>
      <c r="AG42" s="3">
        <f>+AG34-AG41</f>
        <v>25097.248045007032</v>
      </c>
    </row>
    <row r="43" spans="1:51" s="8" customFormat="1" ht="13.5" thickBot="1" x14ac:dyDescent="0.25">
      <c r="A43" s="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9">
        <f>+AG42/AF42-1</f>
        <v>0.13837929653498326</v>
      </c>
    </row>
    <row r="44" spans="1:51" s="8" customFormat="1" x14ac:dyDescent="0.2">
      <c r="A44" s="3"/>
      <c r="Q44" s="17" t="s">
        <v>106</v>
      </c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</row>
    <row r="45" spans="1:51" x14ac:dyDescent="0.2">
      <c r="A45" s="3" t="s">
        <v>79</v>
      </c>
      <c r="B45" s="3">
        <v>6363.1</v>
      </c>
      <c r="C45" s="3">
        <v>6864.3</v>
      </c>
      <c r="D45" s="3">
        <v>6722.4</v>
      </c>
      <c r="E45" s="3">
        <v>6276.7</v>
      </c>
      <c r="F45" s="3">
        <v>6675.5</v>
      </c>
      <c r="G45" s="3">
        <v>6901.4</v>
      </c>
      <c r="H45" s="3">
        <v>7083.5</v>
      </c>
      <c r="I45" s="3">
        <v>7142.3</v>
      </c>
      <c r="J45" s="3">
        <v>7556.7</v>
      </c>
      <c r="K45" s="3">
        <v>7679.9</v>
      </c>
      <c r="L45" s="3">
        <v>7755.2</v>
      </c>
      <c r="M45" s="3">
        <v>7052.6</v>
      </c>
      <c r="N45" s="3">
        <v>7516</v>
      </c>
      <c r="Q45" s="18">
        <f>+(AG45/S45)^(1/15)-1</f>
        <v>8.9182200962442781E-2</v>
      </c>
      <c r="S45" s="3">
        <v>8180.1</v>
      </c>
      <c r="T45" s="3">
        <v>8963.5</v>
      </c>
      <c r="U45" s="3">
        <v>9632.4</v>
      </c>
      <c r="V45" s="3">
        <v>10534.5</v>
      </c>
      <c r="W45" s="3">
        <v>11793.2</v>
      </c>
      <c r="X45" s="3">
        <v>12977.9</v>
      </c>
      <c r="Y45" s="3">
        <v>15197.3</v>
      </c>
      <c r="Z45" s="3">
        <v>16844.099999999999</v>
      </c>
      <c r="AA45" s="3">
        <v>17650.7</v>
      </c>
      <c r="AB45" s="3">
        <v>19690.3</v>
      </c>
      <c r="AC45" s="3">
        <v>21544.400000000001</v>
      </c>
      <c r="AD45" s="3">
        <v>19164.599999999999</v>
      </c>
      <c r="AE45" s="3">
        <v>24607</v>
      </c>
      <c r="AF45" s="3">
        <v>26576.1</v>
      </c>
      <c r="AG45" s="3">
        <v>29462.3</v>
      </c>
    </row>
    <row r="46" spans="1:51" x14ac:dyDescent="0.2">
      <c r="A46" s="3" t="s">
        <v>80</v>
      </c>
      <c r="B46" s="3">
        <v>680.2</v>
      </c>
      <c r="C46" s="3">
        <v>794.5</v>
      </c>
      <c r="D46" s="3">
        <v>850.8</v>
      </c>
      <c r="E46" s="3">
        <v>849.5</v>
      </c>
      <c r="F46" s="3">
        <v>956.8</v>
      </c>
      <c r="G46" s="3">
        <v>998.4</v>
      </c>
      <c r="H46" s="3">
        <v>1119.5</v>
      </c>
      <c r="I46" s="3">
        <v>1069.5</v>
      </c>
      <c r="J46" s="3">
        <v>1136.2</v>
      </c>
      <c r="K46" s="3">
        <v>1187.5</v>
      </c>
      <c r="L46" s="3">
        <v>1192.0999999999999</v>
      </c>
      <c r="M46" s="3">
        <v>1054.5</v>
      </c>
      <c r="N46" s="3">
        <v>1129</v>
      </c>
      <c r="Q46" s="18">
        <f>+(AG46/S46)^(1/15)-1</f>
        <v>0.12271955993176875</v>
      </c>
      <c r="R46" s="9"/>
      <c r="S46" s="3">
        <v>795</v>
      </c>
      <c r="T46" s="3">
        <v>875.2</v>
      </c>
      <c r="U46" s="3">
        <v>1007.5</v>
      </c>
      <c r="V46" s="3">
        <v>1210.3</v>
      </c>
      <c r="W46" s="3">
        <v>1360.5</v>
      </c>
      <c r="X46" s="3">
        <v>1588.6</v>
      </c>
      <c r="Y46" s="3">
        <v>1861.9</v>
      </c>
      <c r="Z46" s="3">
        <v>2154.1999999999998</v>
      </c>
      <c r="AA46" s="3">
        <v>2355</v>
      </c>
      <c r="AB46" s="3">
        <v>2652.2</v>
      </c>
      <c r="AC46" s="3">
        <v>2875</v>
      </c>
      <c r="AD46" s="3">
        <v>2327.1</v>
      </c>
      <c r="AE46" s="3">
        <v>2683.6</v>
      </c>
      <c r="AF46" s="3">
        <v>3655.5</v>
      </c>
      <c r="AG46" s="3">
        <v>4512.7</v>
      </c>
    </row>
    <row r="47" spans="1:51" x14ac:dyDescent="0.2">
      <c r="A47" s="3" t="s">
        <v>78</v>
      </c>
      <c r="B47" s="3">
        <v>453.2</v>
      </c>
      <c r="C47" s="3">
        <v>487.9</v>
      </c>
      <c r="D47" s="3">
        <v>477.2</v>
      </c>
      <c r="E47" s="3">
        <v>509.4</v>
      </c>
      <c r="F47" s="3">
        <v>517.79999999999995</v>
      </c>
      <c r="G47" s="3">
        <v>514.4</v>
      </c>
      <c r="H47" s="3">
        <v>510.9</v>
      </c>
      <c r="I47" s="3">
        <v>508</v>
      </c>
      <c r="J47" s="3">
        <v>475.4</v>
      </c>
      <c r="K47" s="3">
        <v>506.2</v>
      </c>
      <c r="L47" s="3">
        <v>478</v>
      </c>
      <c r="M47" s="3">
        <v>455.9</v>
      </c>
      <c r="N47" s="3">
        <v>468.9</v>
      </c>
      <c r="Q47" s="18">
        <f t="shared" ref="Q47:Q52" si="34">+(AG47/S47)^(1/15)-1</f>
        <v>6.305594304324269E-2</v>
      </c>
      <c r="R47" s="9"/>
      <c r="S47" s="3">
        <v>799.5</v>
      </c>
      <c r="T47" s="3">
        <v>868.7</v>
      </c>
      <c r="U47" s="3">
        <v>1060.5</v>
      </c>
      <c r="V47" s="3">
        <v>1554.7</v>
      </c>
      <c r="W47" s="3">
        <v>1713.1</v>
      </c>
      <c r="X47" s="3">
        <v>1881.3</v>
      </c>
      <c r="Y47" s="3">
        <v>2103.5</v>
      </c>
      <c r="Z47" s="3">
        <v>2317.6</v>
      </c>
      <c r="AA47" s="3">
        <v>2381.1</v>
      </c>
      <c r="AB47" s="3">
        <v>2377</v>
      </c>
      <c r="AC47" s="3">
        <v>2089.1999999999998</v>
      </c>
      <c r="AD47" s="3">
        <v>2026.3</v>
      </c>
      <c r="AE47" s="3">
        <v>1770</v>
      </c>
      <c r="AF47" s="3">
        <v>2018.7</v>
      </c>
      <c r="AG47" s="3">
        <v>2000.6</v>
      </c>
      <c r="AY47" s="9"/>
    </row>
    <row r="48" spans="1:51" s="11" customFormat="1" x14ac:dyDescent="0.2">
      <c r="A48" s="11" t="s">
        <v>13</v>
      </c>
      <c r="B48" s="11">
        <f t="shared" ref="B48:L48" si="35">+SUM(B45:B47)</f>
        <v>7496.5</v>
      </c>
      <c r="C48" s="11">
        <f t="shared" si="35"/>
        <v>8146.7</v>
      </c>
      <c r="D48" s="11">
        <f t="shared" si="35"/>
        <v>8050.4</v>
      </c>
      <c r="E48" s="11">
        <f t="shared" si="35"/>
        <v>7635.5999999999995</v>
      </c>
      <c r="F48" s="11">
        <f t="shared" si="35"/>
        <v>8150.1</v>
      </c>
      <c r="G48" s="11">
        <f t="shared" si="35"/>
        <v>8414.1999999999989</v>
      </c>
      <c r="H48" s="11">
        <f t="shared" si="35"/>
        <v>8713.9</v>
      </c>
      <c r="I48" s="11">
        <f t="shared" si="35"/>
        <v>8719.7999999999993</v>
      </c>
      <c r="J48" s="11">
        <f t="shared" si="35"/>
        <v>9168.2999999999993</v>
      </c>
      <c r="K48" s="11">
        <f t="shared" si="35"/>
        <v>9373.6</v>
      </c>
      <c r="L48" s="11">
        <f t="shared" si="35"/>
        <v>9425.2999999999993</v>
      </c>
      <c r="M48" s="11">
        <f>+SUM(M45:M47)</f>
        <v>8563</v>
      </c>
      <c r="N48" s="11">
        <f>+SUM(N45:N47)</f>
        <v>9113.9</v>
      </c>
      <c r="O48" s="11">
        <f>+N48*1.07</f>
        <v>9751.8729999999996</v>
      </c>
      <c r="Q48" s="18">
        <f>+(AG48/S48)^(1/15)-1</f>
        <v>9.0755144806567989E-2</v>
      </c>
      <c r="R48" s="28">
        <v>7.0000000000000007E-2</v>
      </c>
      <c r="S48" s="11">
        <f t="shared" ref="S48:AF48" si="36">+SUM(S45:S47)</f>
        <v>9774.6</v>
      </c>
      <c r="T48" s="11">
        <f t="shared" si="36"/>
        <v>10707.400000000001</v>
      </c>
      <c r="U48" s="11">
        <f t="shared" si="36"/>
        <v>11700.4</v>
      </c>
      <c r="V48" s="11">
        <f t="shared" si="36"/>
        <v>13299.5</v>
      </c>
      <c r="W48" s="11">
        <f t="shared" si="36"/>
        <v>14866.800000000001</v>
      </c>
      <c r="X48" s="11">
        <f t="shared" si="36"/>
        <v>16447.8</v>
      </c>
      <c r="Y48" s="11">
        <f t="shared" si="36"/>
        <v>19162.7</v>
      </c>
      <c r="Z48" s="11">
        <f t="shared" si="36"/>
        <v>21315.899999999998</v>
      </c>
      <c r="AA48" s="11">
        <f t="shared" si="36"/>
        <v>22386.799999999999</v>
      </c>
      <c r="AB48" s="11">
        <f t="shared" si="36"/>
        <v>24719.5</v>
      </c>
      <c r="AC48" s="11">
        <f t="shared" si="36"/>
        <v>26508.600000000002</v>
      </c>
      <c r="AD48" s="11">
        <f t="shared" si="36"/>
        <v>23517.999999999996</v>
      </c>
      <c r="AE48" s="11">
        <f t="shared" si="36"/>
        <v>29060.6</v>
      </c>
      <c r="AF48" s="11">
        <f t="shared" si="36"/>
        <v>32250.3</v>
      </c>
      <c r="AG48" s="11">
        <f>+SUM(AG45:AG47)</f>
        <v>35975.599999999999</v>
      </c>
      <c r="AH48" s="11">
        <f>+SUM(L48:O48)</f>
        <v>36854.072999999997</v>
      </c>
      <c r="AI48" s="11">
        <f>+AH48*1.08</f>
        <v>39802.398840000002</v>
      </c>
      <c r="AJ48" s="11">
        <f t="shared" ref="AJ48:AV48" si="37">+AI48*1.08</f>
        <v>42986.590747200004</v>
      </c>
      <c r="AK48" s="11">
        <f t="shared" si="37"/>
        <v>46425.51800697601</v>
      </c>
      <c r="AL48" s="11">
        <f t="shared" si="37"/>
        <v>50139.559447534091</v>
      </c>
      <c r="AM48" s="11">
        <f t="shared" si="37"/>
        <v>54150.724203336824</v>
      </c>
      <c r="AN48" s="11">
        <f t="shared" si="37"/>
        <v>58482.782139603776</v>
      </c>
      <c r="AO48" s="11">
        <f t="shared" si="37"/>
        <v>63161.404710772083</v>
      </c>
      <c r="AP48" s="11">
        <f t="shared" si="37"/>
        <v>68214.317087633855</v>
      </c>
      <c r="AQ48" s="11">
        <f t="shared" si="37"/>
        <v>73671.46245464457</v>
      </c>
      <c r="AR48" s="11">
        <f t="shared" si="37"/>
        <v>79565.179451016142</v>
      </c>
      <c r="AS48" s="11">
        <f t="shared" si="37"/>
        <v>85930.39380709744</v>
      </c>
      <c r="AT48" s="11">
        <f t="shared" si="37"/>
        <v>92804.825311665234</v>
      </c>
      <c r="AU48" s="11">
        <f t="shared" si="37"/>
        <v>100229.21133659846</v>
      </c>
      <c r="AV48" s="11">
        <f t="shared" si="37"/>
        <v>108247.54824352634</v>
      </c>
      <c r="AW48" s="29"/>
    </row>
    <row r="49" spans="1:149" x14ac:dyDescent="0.2">
      <c r="A49" s="3" t="s">
        <v>100</v>
      </c>
      <c r="B49" s="3">
        <v>2206</v>
      </c>
      <c r="C49" s="3">
        <v>2491.1</v>
      </c>
      <c r="D49" s="3">
        <v>2526.9</v>
      </c>
      <c r="E49" s="3">
        <v>2465.8000000000002</v>
      </c>
      <c r="F49" s="3">
        <v>2613.6</v>
      </c>
      <c r="G49" s="3">
        <v>2711</v>
      </c>
      <c r="H49" s="3">
        <v>2810.2</v>
      </c>
      <c r="I49" s="3">
        <v>2801.7</v>
      </c>
      <c r="J49" s="3">
        <v>2864.2</v>
      </c>
      <c r="K49" s="3">
        <v>2933.1</v>
      </c>
      <c r="L49" s="3">
        <v>2980.6</v>
      </c>
      <c r="M49" s="3">
        <v>2648.7</v>
      </c>
      <c r="N49" s="3">
        <v>2740.9</v>
      </c>
      <c r="Q49" s="18">
        <f t="shared" si="34"/>
        <v>6.680494740107612E-2</v>
      </c>
      <c r="R49" s="9"/>
      <c r="S49" s="3">
        <v>4324.8999999999996</v>
      </c>
      <c r="T49" s="3">
        <v>4458.6000000000004</v>
      </c>
      <c r="U49" s="3">
        <v>4915.5</v>
      </c>
      <c r="V49" s="3">
        <v>5813.3</v>
      </c>
      <c r="W49" s="3">
        <v>6382.3</v>
      </c>
      <c r="X49" s="3">
        <v>6858.8</v>
      </c>
      <c r="Y49" s="3">
        <v>7787.5</v>
      </c>
      <c r="Z49" s="3">
        <v>8509</v>
      </c>
      <c r="AA49" s="3">
        <v>9034.4</v>
      </c>
      <c r="AB49" s="3">
        <v>10174.5</v>
      </c>
      <c r="AC49" s="3">
        <v>8526.9</v>
      </c>
      <c r="AD49" s="3">
        <v>7694.9</v>
      </c>
      <c r="AE49" s="3">
        <v>8738.7000000000007</v>
      </c>
      <c r="AF49" s="3">
        <v>10317.4</v>
      </c>
      <c r="AG49" s="3">
        <v>11409.1</v>
      </c>
      <c r="AH49" s="3">
        <f>+AG49*1.07</f>
        <v>12207.737000000001</v>
      </c>
      <c r="AI49" s="3">
        <f t="shared" ref="AI49:AV49" si="38">+AH49*1.07</f>
        <v>13062.278590000002</v>
      </c>
      <c r="AJ49" s="3">
        <f t="shared" si="38"/>
        <v>13976.638091300003</v>
      </c>
      <c r="AK49" s="3">
        <f t="shared" si="38"/>
        <v>14955.002757691003</v>
      </c>
      <c r="AL49" s="3">
        <f t="shared" si="38"/>
        <v>16001.852950729375</v>
      </c>
      <c r="AM49" s="3">
        <f t="shared" si="38"/>
        <v>17121.982657280434</v>
      </c>
      <c r="AN49" s="3">
        <f t="shared" si="38"/>
        <v>18320.521443290065</v>
      </c>
      <c r="AO49" s="3">
        <f t="shared" si="38"/>
        <v>19602.957944320369</v>
      </c>
      <c r="AP49" s="3">
        <f t="shared" si="38"/>
        <v>20975.165000422796</v>
      </c>
      <c r="AQ49" s="3">
        <f t="shared" si="38"/>
        <v>22443.426550452394</v>
      </c>
      <c r="AR49" s="3">
        <f t="shared" si="38"/>
        <v>24014.466408984063</v>
      </c>
      <c r="AS49" s="3">
        <f t="shared" si="38"/>
        <v>25695.479057612949</v>
      </c>
      <c r="AT49" s="3">
        <f t="shared" si="38"/>
        <v>27494.162591645858</v>
      </c>
      <c r="AU49" s="3">
        <f t="shared" si="38"/>
        <v>29418.75397306107</v>
      </c>
      <c r="AV49" s="3">
        <f t="shared" si="38"/>
        <v>31478.066751175345</v>
      </c>
    </row>
    <row r="50" spans="1:149" x14ac:dyDescent="0.2">
      <c r="A50" s="3" t="s">
        <v>14</v>
      </c>
      <c r="B50" s="3">
        <v>2966.9</v>
      </c>
      <c r="C50" s="3">
        <v>3273.4</v>
      </c>
      <c r="D50" s="3">
        <v>3400</v>
      </c>
      <c r="E50" s="3">
        <v>3314.7</v>
      </c>
      <c r="F50" s="3">
        <v>3302.5</v>
      </c>
      <c r="G50" s="3">
        <v>3544.7</v>
      </c>
      <c r="H50" s="3">
        <v>3665.3</v>
      </c>
      <c r="I50" s="3">
        <v>3636</v>
      </c>
      <c r="J50" s="3">
        <v>3697.6</v>
      </c>
      <c r="K50" s="3">
        <v>3721.3</v>
      </c>
      <c r="L50" s="3">
        <v>3851.5</v>
      </c>
      <c r="M50" s="3">
        <v>3724.1</v>
      </c>
      <c r="N50" s="3">
        <v>3829.1</v>
      </c>
      <c r="Q50" s="18">
        <f t="shared" si="34"/>
        <v>0.10208788170045224</v>
      </c>
      <c r="R50" s="9"/>
      <c r="S50" s="3">
        <v>3425.1</v>
      </c>
      <c r="T50" s="3">
        <v>3551.4</v>
      </c>
      <c r="U50" s="3">
        <v>3594.9</v>
      </c>
      <c r="V50" s="3">
        <v>3918.1</v>
      </c>
      <c r="W50" s="3">
        <v>4286.1000000000004</v>
      </c>
      <c r="X50" s="3">
        <v>4638.2</v>
      </c>
      <c r="Y50" s="3">
        <v>5411.1</v>
      </c>
      <c r="Z50" s="3">
        <v>6064.3</v>
      </c>
      <c r="AA50" s="3">
        <v>6493.3</v>
      </c>
      <c r="AB50" s="3">
        <v>7193.2</v>
      </c>
      <c r="AC50" s="3">
        <v>10493.6</v>
      </c>
      <c r="AD50" s="3">
        <v>10764</v>
      </c>
      <c r="AE50" s="3">
        <v>11930.9</v>
      </c>
      <c r="AF50" s="3">
        <v>13561.8</v>
      </c>
      <c r="AG50" s="3">
        <v>14720.3</v>
      </c>
      <c r="AH50" s="3">
        <f>+AG50*1.1</f>
        <v>16192.33</v>
      </c>
      <c r="AI50" s="3">
        <f t="shared" ref="AI50:AV50" si="39">+AH50*1.1</f>
        <v>17811.563000000002</v>
      </c>
      <c r="AJ50" s="3">
        <f t="shared" si="39"/>
        <v>19592.719300000004</v>
      </c>
      <c r="AK50" s="3">
        <f t="shared" si="39"/>
        <v>21551.991230000007</v>
      </c>
      <c r="AL50" s="3">
        <f t="shared" si="39"/>
        <v>23707.190353000009</v>
      </c>
      <c r="AM50" s="3">
        <f t="shared" si="39"/>
        <v>26077.909388300013</v>
      </c>
      <c r="AN50" s="3">
        <f t="shared" si="39"/>
        <v>28685.700327130016</v>
      </c>
      <c r="AO50" s="3">
        <f t="shared" si="39"/>
        <v>31554.27035984302</v>
      </c>
      <c r="AP50" s="3">
        <f t="shared" si="39"/>
        <v>34709.697395827323</v>
      </c>
      <c r="AQ50" s="3">
        <f t="shared" si="39"/>
        <v>38180.667135410062</v>
      </c>
      <c r="AR50" s="3">
        <f t="shared" si="39"/>
        <v>41998.733848951073</v>
      </c>
      <c r="AS50" s="3">
        <f t="shared" si="39"/>
        <v>46198.607233846182</v>
      </c>
      <c r="AT50" s="3">
        <f t="shared" si="39"/>
        <v>50818.467957230801</v>
      </c>
      <c r="AU50" s="3">
        <f t="shared" si="39"/>
        <v>55900.314752953884</v>
      </c>
      <c r="AV50" s="3">
        <f t="shared" si="39"/>
        <v>61490.346228249276</v>
      </c>
    </row>
    <row r="51" spans="1:149" x14ac:dyDescent="0.2">
      <c r="A51" s="3" t="s">
        <v>12</v>
      </c>
      <c r="B51" s="3">
        <v>71.400000000000006</v>
      </c>
      <c r="C51" s="3">
        <v>108.6</v>
      </c>
      <c r="D51" s="3">
        <v>101.7</v>
      </c>
      <c r="E51" s="3">
        <v>101.7</v>
      </c>
      <c r="F51" s="3">
        <v>135.1</v>
      </c>
      <c r="G51" s="3">
        <v>123.1</v>
      </c>
      <c r="H51" s="3">
        <v>129.30000000000001</v>
      </c>
      <c r="I51" s="3">
        <v>126.2</v>
      </c>
      <c r="J51" s="3">
        <v>138.69999999999999</v>
      </c>
      <c r="K51" s="3">
        <v>145.19999999999999</v>
      </c>
      <c r="L51" s="3">
        <v>150.4</v>
      </c>
      <c r="M51" s="3">
        <v>132.80000000000001</v>
      </c>
      <c r="N51" s="3">
        <v>143.9</v>
      </c>
      <c r="Q51" s="18">
        <f t="shared" si="34"/>
        <v>4.8680758269206814E-2</v>
      </c>
      <c r="R51" s="9"/>
      <c r="S51" s="3">
        <v>264.39999999999998</v>
      </c>
      <c r="T51" s="3">
        <v>293.2</v>
      </c>
      <c r="U51" s="3">
        <v>392.8</v>
      </c>
      <c r="V51" s="3">
        <v>429.9</v>
      </c>
      <c r="W51" s="3">
        <v>431.8</v>
      </c>
      <c r="X51" s="3">
        <v>457.3</v>
      </c>
      <c r="Y51" s="3">
        <v>522.4</v>
      </c>
      <c r="Z51" s="3">
        <v>499.2</v>
      </c>
      <c r="AA51" s="3">
        <v>500.3</v>
      </c>
      <c r="AB51" s="3">
        <v>539.29999999999995</v>
      </c>
      <c r="AC51" s="3">
        <v>371</v>
      </c>
      <c r="AD51" s="3">
        <v>430.3</v>
      </c>
      <c r="AE51" s="3">
        <v>359.5</v>
      </c>
      <c r="AF51" s="3">
        <v>461.5</v>
      </c>
      <c r="AG51" s="3">
        <v>539.4</v>
      </c>
      <c r="AH51" s="3">
        <f>+AG51*1.05</f>
        <v>566.37</v>
      </c>
      <c r="AI51" s="3">
        <f t="shared" ref="AI51:AV51" si="40">+AH51*1.05</f>
        <v>594.68849999999998</v>
      </c>
      <c r="AJ51" s="3">
        <f t="shared" si="40"/>
        <v>624.42292499999996</v>
      </c>
      <c r="AK51" s="3">
        <f t="shared" si="40"/>
        <v>655.64407125000002</v>
      </c>
      <c r="AL51" s="3">
        <f t="shared" si="40"/>
        <v>688.42627481250008</v>
      </c>
      <c r="AM51" s="3">
        <f t="shared" si="40"/>
        <v>722.84758855312509</v>
      </c>
      <c r="AN51" s="3">
        <f t="shared" si="40"/>
        <v>758.98996798078133</v>
      </c>
      <c r="AO51" s="3">
        <f t="shared" si="40"/>
        <v>796.93946637982037</v>
      </c>
      <c r="AP51" s="3">
        <f t="shared" si="40"/>
        <v>836.78643969881148</v>
      </c>
      <c r="AQ51" s="3">
        <f t="shared" si="40"/>
        <v>878.6257616837521</v>
      </c>
      <c r="AR51" s="3">
        <f t="shared" si="40"/>
        <v>922.5570497679397</v>
      </c>
      <c r="AS51" s="3">
        <f t="shared" si="40"/>
        <v>968.68490225633673</v>
      </c>
      <c r="AT51" s="3">
        <f t="shared" si="40"/>
        <v>1017.1191473691536</v>
      </c>
      <c r="AU51" s="3">
        <f t="shared" si="40"/>
        <v>1067.9751047376112</v>
      </c>
      <c r="AV51" s="3">
        <f t="shared" si="40"/>
        <v>1121.3738599744918</v>
      </c>
    </row>
    <row r="52" spans="1:149" ht="13.5" thickBot="1" x14ac:dyDescent="0.25">
      <c r="A52" s="3" t="s">
        <v>15</v>
      </c>
      <c r="B52" s="3">
        <v>494.9</v>
      </c>
      <c r="C52" s="3">
        <v>501.2</v>
      </c>
      <c r="D52" s="3">
        <v>525.79999999999995</v>
      </c>
      <c r="E52" s="3">
        <v>481.5</v>
      </c>
      <c r="F52" s="3">
        <v>486.7</v>
      </c>
      <c r="G52" s="3">
        <v>538</v>
      </c>
      <c r="H52" s="3">
        <v>580.9</v>
      </c>
      <c r="I52" s="3">
        <v>620.4</v>
      </c>
      <c r="J52" s="3">
        <v>604.29999999999995</v>
      </c>
      <c r="K52" s="3">
        <v>635.79999999999995</v>
      </c>
      <c r="L52" s="3">
        <v>648</v>
      </c>
      <c r="M52" s="3">
        <v>654.6</v>
      </c>
      <c r="N52" s="3">
        <v>576</v>
      </c>
      <c r="Q52" s="19">
        <f t="shared" si="34"/>
        <v>0.11884054624240536</v>
      </c>
      <c r="R52" s="9"/>
      <c r="S52" s="3">
        <v>453</v>
      </c>
      <c r="T52" s="3">
        <v>569.5</v>
      </c>
      <c r="U52" s="3">
        <v>749.3</v>
      </c>
      <c r="V52" s="3">
        <v>801.2</v>
      </c>
      <c r="W52" s="3">
        <v>937.9</v>
      </c>
      <c r="X52" s="3">
        <v>991.3</v>
      </c>
      <c r="Y52" s="3">
        <v>1196.7</v>
      </c>
      <c r="Z52" s="3">
        <v>1408.9</v>
      </c>
      <c r="AA52" s="3">
        <v>1011.4</v>
      </c>
      <c r="AB52" s="3">
        <v>1759</v>
      </c>
      <c r="AC52" s="3">
        <v>1824.1</v>
      </c>
      <c r="AD52" s="3">
        <v>1679.6</v>
      </c>
      <c r="AE52" s="3">
        <v>1932.6</v>
      </c>
      <c r="AF52" s="3">
        <v>2032</v>
      </c>
      <c r="AG52" s="3">
        <v>2441.3000000000002</v>
      </c>
      <c r="AH52" s="3">
        <f>+AG52*1.12</f>
        <v>2734.2560000000003</v>
      </c>
      <c r="AI52" s="3">
        <f t="shared" ref="AI52:AV52" si="41">+AH52*1.12</f>
        <v>3062.3667200000004</v>
      </c>
      <c r="AJ52" s="3">
        <f t="shared" si="41"/>
        <v>3429.8507264000009</v>
      </c>
      <c r="AK52" s="3">
        <f t="shared" si="41"/>
        <v>3841.4328135680012</v>
      </c>
      <c r="AL52" s="3">
        <f t="shared" si="41"/>
        <v>4302.4047511961617</v>
      </c>
      <c r="AM52" s="3">
        <f t="shared" si="41"/>
        <v>4818.6933213397015</v>
      </c>
      <c r="AN52" s="3">
        <f t="shared" si="41"/>
        <v>5396.936519900466</v>
      </c>
      <c r="AO52" s="3">
        <f t="shared" si="41"/>
        <v>6044.5689022885226</v>
      </c>
      <c r="AP52" s="3">
        <f t="shared" si="41"/>
        <v>6769.9171705631461</v>
      </c>
      <c r="AQ52" s="3">
        <f t="shared" si="41"/>
        <v>7582.3072310307243</v>
      </c>
      <c r="AR52" s="3">
        <f t="shared" si="41"/>
        <v>8492.1840987544128</v>
      </c>
      <c r="AS52" s="3">
        <f t="shared" si="41"/>
        <v>9511.246190604943</v>
      </c>
      <c r="AT52" s="3">
        <f t="shared" si="41"/>
        <v>10652.595733477538</v>
      </c>
      <c r="AU52" s="3">
        <f t="shared" si="41"/>
        <v>11930.907221494843</v>
      </c>
      <c r="AV52" s="3">
        <f t="shared" si="41"/>
        <v>13362.616088074225</v>
      </c>
    </row>
    <row r="53" spans="1:149" x14ac:dyDescent="0.2">
      <c r="A53" s="3" t="s">
        <v>16</v>
      </c>
      <c r="B53" s="3">
        <f>+SUM(B49:B52)</f>
        <v>5739.1999999999989</v>
      </c>
      <c r="C53" s="3">
        <f t="shared" ref="C53:N53" si="42">+SUM(C49:C52)</f>
        <v>6374.3</v>
      </c>
      <c r="D53" s="3">
        <f t="shared" si="42"/>
        <v>6554.4</v>
      </c>
      <c r="E53" s="3">
        <f t="shared" si="42"/>
        <v>6363.7</v>
      </c>
      <c r="F53" s="3">
        <f t="shared" si="42"/>
        <v>6537.9000000000005</v>
      </c>
      <c r="G53" s="3">
        <f t="shared" si="42"/>
        <v>6916.8</v>
      </c>
      <c r="H53" s="3">
        <f t="shared" si="42"/>
        <v>7185.7</v>
      </c>
      <c r="I53" s="3">
        <f>+SUM(I49:I52)</f>
        <v>7184.2999999999993</v>
      </c>
      <c r="J53" s="3">
        <f t="shared" si="42"/>
        <v>7304.7999999999993</v>
      </c>
      <c r="K53" s="3">
        <f t="shared" si="42"/>
        <v>7435.4</v>
      </c>
      <c r="L53" s="3">
        <f t="shared" si="42"/>
        <v>7630.5</v>
      </c>
      <c r="M53" s="3">
        <f t="shared" si="42"/>
        <v>7160.2</v>
      </c>
      <c r="N53" s="3">
        <f t="shared" si="42"/>
        <v>7289.9</v>
      </c>
      <c r="S53" s="3">
        <f t="shared" ref="S53:AH53" si="43">+SUM(S49:S52)</f>
        <v>8467.4</v>
      </c>
      <c r="T53" s="3">
        <f t="shared" si="43"/>
        <v>8872.7000000000007</v>
      </c>
      <c r="U53" s="3">
        <f t="shared" si="43"/>
        <v>9652.4999999999982</v>
      </c>
      <c r="V53" s="3">
        <f t="shared" si="43"/>
        <v>10962.5</v>
      </c>
      <c r="W53" s="3">
        <f t="shared" si="43"/>
        <v>12038.1</v>
      </c>
      <c r="X53" s="3">
        <f t="shared" si="43"/>
        <v>12945.599999999999</v>
      </c>
      <c r="Y53" s="3">
        <f t="shared" si="43"/>
        <v>14917.7</v>
      </c>
      <c r="Z53" s="3">
        <f t="shared" si="43"/>
        <v>16481.400000000001</v>
      </c>
      <c r="AA53" s="3">
        <f t="shared" si="43"/>
        <v>17039.400000000001</v>
      </c>
      <c r="AB53" s="3">
        <f t="shared" si="43"/>
        <v>19666</v>
      </c>
      <c r="AC53" s="3">
        <f t="shared" si="43"/>
        <v>21215.599999999999</v>
      </c>
      <c r="AD53" s="3">
        <f t="shared" si="43"/>
        <v>20568.8</v>
      </c>
      <c r="AE53" s="3">
        <f t="shared" si="43"/>
        <v>22961.699999999997</v>
      </c>
      <c r="AF53" s="3">
        <f t="shared" si="43"/>
        <v>26372.699999999997</v>
      </c>
      <c r="AG53" s="3">
        <f t="shared" si="43"/>
        <v>29110.100000000002</v>
      </c>
      <c r="AH53" s="3">
        <f t="shared" si="43"/>
        <v>31700.693000000003</v>
      </c>
      <c r="AI53" s="3">
        <f t="shared" ref="AI53" si="44">+SUM(AI49:AI52)</f>
        <v>34530.896810000006</v>
      </c>
      <c r="AJ53" s="3">
        <f t="shared" ref="AJ53" si="45">+SUM(AJ49:AJ52)</f>
        <v>37623.631042700006</v>
      </c>
      <c r="AK53" s="3">
        <f t="shared" ref="AK53" si="46">+SUM(AK49:AK52)</f>
        <v>41004.070872509008</v>
      </c>
      <c r="AL53" s="3">
        <f t="shared" ref="AL53" si="47">+SUM(AL49:AL52)</f>
        <v>44699.874329738042</v>
      </c>
      <c r="AM53" s="3">
        <f t="shared" ref="AM53" si="48">+SUM(AM49:AM52)</f>
        <v>48741.432955473269</v>
      </c>
      <c r="AN53" s="3">
        <f t="shared" ref="AN53" si="49">+SUM(AN49:AN52)</f>
        <v>53162.148258301328</v>
      </c>
      <c r="AO53" s="3">
        <f t="shared" ref="AO53" si="50">+SUM(AO49:AO52)</f>
        <v>57998.736672831736</v>
      </c>
      <c r="AP53" s="3">
        <f t="shared" ref="AP53" si="51">+SUM(AP49:AP52)</f>
        <v>63291.566006512068</v>
      </c>
      <c r="AQ53" s="3">
        <f t="shared" ref="AQ53" si="52">+SUM(AQ49:AQ52)</f>
        <v>69085.026678576935</v>
      </c>
      <c r="AR53" s="3">
        <f t="shared" ref="AR53" si="53">+SUM(AR49:AR52)</f>
        <v>75427.941406457496</v>
      </c>
      <c r="AS53" s="3">
        <f t="shared" ref="AS53" si="54">+SUM(AS49:AS52)</f>
        <v>82374.01738432041</v>
      </c>
      <c r="AT53" s="3">
        <f t="shared" ref="AT53" si="55">+SUM(AT49:AT52)</f>
        <v>89982.345429723355</v>
      </c>
      <c r="AU53" s="3">
        <f t="shared" ref="AU53" si="56">+SUM(AU49:AU52)</f>
        <v>98317.951052247401</v>
      </c>
      <c r="AV53" s="3">
        <f t="shared" ref="AV53" si="57">+SUM(AV49:AV52)</f>
        <v>107452.40292747335</v>
      </c>
    </row>
    <row r="54" spans="1:149" s="11" customFormat="1" x14ac:dyDescent="0.2">
      <c r="A54" s="11" t="s">
        <v>17</v>
      </c>
      <c r="B54" s="11">
        <f t="shared" ref="B54:J54" si="58">+B48-B53</f>
        <v>1757.3000000000011</v>
      </c>
      <c r="C54" s="11">
        <f t="shared" si="58"/>
        <v>1772.3999999999996</v>
      </c>
      <c r="D54" s="11">
        <f t="shared" si="58"/>
        <v>1496</v>
      </c>
      <c r="E54" s="11">
        <f t="shared" si="58"/>
        <v>1271.8999999999996</v>
      </c>
      <c r="F54" s="11">
        <f t="shared" si="58"/>
        <v>1612.1999999999998</v>
      </c>
      <c r="G54" s="11">
        <f t="shared" si="58"/>
        <v>1497.3999999999987</v>
      </c>
      <c r="H54" s="11">
        <f t="shared" si="58"/>
        <v>1528.1999999999998</v>
      </c>
      <c r="I54" s="11">
        <f t="shared" si="58"/>
        <v>1535.5</v>
      </c>
      <c r="J54" s="11">
        <f t="shared" si="58"/>
        <v>1863.5</v>
      </c>
      <c r="K54" s="11">
        <f>+K48-K53</f>
        <v>1938.2000000000007</v>
      </c>
      <c r="L54" s="11">
        <f>+L48-L53</f>
        <v>1794.7999999999993</v>
      </c>
      <c r="M54" s="11">
        <f>+M48-M53</f>
        <v>1402.8000000000002</v>
      </c>
      <c r="N54" s="11">
        <f>+N48-N53</f>
        <v>1824</v>
      </c>
      <c r="S54" s="11">
        <f t="shared" ref="S54:AH54" si="59">+S48-S53</f>
        <v>1307.2000000000007</v>
      </c>
      <c r="T54" s="11">
        <f t="shared" si="59"/>
        <v>1834.7000000000007</v>
      </c>
      <c r="U54" s="11">
        <f t="shared" si="59"/>
        <v>2047.9000000000015</v>
      </c>
      <c r="V54" s="11">
        <f t="shared" si="59"/>
        <v>2337</v>
      </c>
      <c r="W54" s="11">
        <f t="shared" si="59"/>
        <v>2828.7000000000007</v>
      </c>
      <c r="X54" s="11">
        <f t="shared" si="59"/>
        <v>3502.2000000000007</v>
      </c>
      <c r="Y54" s="11">
        <f t="shared" si="59"/>
        <v>4245</v>
      </c>
      <c r="Z54" s="11">
        <f t="shared" si="59"/>
        <v>4834.4999999999964</v>
      </c>
      <c r="AA54" s="11">
        <f t="shared" si="59"/>
        <v>5347.3999999999978</v>
      </c>
      <c r="AB54" s="11">
        <f t="shared" si="59"/>
        <v>5053.5</v>
      </c>
      <c r="AC54" s="11">
        <f t="shared" si="59"/>
        <v>5293.0000000000036</v>
      </c>
      <c r="AD54" s="11">
        <f t="shared" si="59"/>
        <v>2949.1999999999971</v>
      </c>
      <c r="AE54" s="11">
        <f t="shared" si="59"/>
        <v>6098.9000000000015</v>
      </c>
      <c r="AF54" s="11">
        <f t="shared" si="59"/>
        <v>5877.6000000000022</v>
      </c>
      <c r="AG54" s="11">
        <f t="shared" si="59"/>
        <v>6865.4999999999964</v>
      </c>
      <c r="AH54" s="11">
        <f t="shared" si="59"/>
        <v>5153.3799999999937</v>
      </c>
      <c r="AI54" s="11">
        <f t="shared" ref="AI54" si="60">+AI48-AI53</f>
        <v>5271.502029999996</v>
      </c>
      <c r="AJ54" s="11">
        <f t="shared" ref="AJ54" si="61">+AJ48-AJ53</f>
        <v>5362.9597044999973</v>
      </c>
      <c r="AK54" s="11">
        <f t="shared" ref="AK54" si="62">+AK48-AK53</f>
        <v>5421.4471344670019</v>
      </c>
      <c r="AL54" s="11">
        <f t="shared" ref="AL54" si="63">+AL48-AL53</f>
        <v>5439.6851177960489</v>
      </c>
      <c r="AM54" s="11">
        <f t="shared" ref="AM54" si="64">+AM48-AM53</f>
        <v>5409.2912478635553</v>
      </c>
      <c r="AN54" s="11">
        <f t="shared" ref="AN54" si="65">+AN48-AN53</f>
        <v>5320.6338813024486</v>
      </c>
      <c r="AO54" s="11">
        <f t="shared" ref="AO54" si="66">+AO48-AO53</f>
        <v>5162.6680379403479</v>
      </c>
      <c r="AP54" s="11">
        <f t="shared" ref="AP54" si="67">+AP48-AP53</f>
        <v>4922.7510811217871</v>
      </c>
      <c r="AQ54" s="11">
        <f t="shared" ref="AQ54" si="68">+AQ48-AQ53</f>
        <v>4586.4357760676357</v>
      </c>
      <c r="AR54" s="11">
        <f t="shared" ref="AR54" si="69">+AR48-AR53</f>
        <v>4137.2380445586459</v>
      </c>
      <c r="AS54" s="11">
        <f t="shared" ref="AS54" si="70">+AS48-AS53</f>
        <v>3556.3764227770298</v>
      </c>
      <c r="AT54" s="11">
        <f t="shared" ref="AT54" si="71">+AT48-AT53</f>
        <v>2822.4798819418793</v>
      </c>
      <c r="AU54" s="11">
        <f t="shared" ref="AU54" si="72">+AU48-AU53</f>
        <v>1911.260284351054</v>
      </c>
      <c r="AV54" s="11">
        <f t="shared" ref="AV54" si="73">+AV48-AV53</f>
        <v>795.14531605299271</v>
      </c>
    </row>
    <row r="55" spans="1:149" x14ac:dyDescent="0.2">
      <c r="A55" s="3" t="s">
        <v>18</v>
      </c>
      <c r="B55" s="3">
        <v>36</v>
      </c>
      <c r="C55" s="3">
        <v>21.5</v>
      </c>
      <c r="D55" s="3">
        <v>-0.1</v>
      </c>
      <c r="E55" s="3">
        <v>46.3</v>
      </c>
      <c r="F55" s="3">
        <v>19.8</v>
      </c>
      <c r="G55" s="3">
        <v>31</v>
      </c>
      <c r="H55" s="3">
        <v>11.6</v>
      </c>
      <c r="I55" s="3">
        <v>18.399999999999999</v>
      </c>
      <c r="J55" s="3">
        <v>21.3</v>
      </c>
      <c r="K55" s="3">
        <v>30.1</v>
      </c>
      <c r="L55" s="3">
        <v>33.799999999999997</v>
      </c>
      <c r="M55" s="3">
        <v>34.1</v>
      </c>
      <c r="N55" s="3">
        <v>28.1</v>
      </c>
      <c r="S55" s="3">
        <v>37</v>
      </c>
      <c r="T55" s="3">
        <v>50.3</v>
      </c>
      <c r="U55" s="3">
        <v>115.9</v>
      </c>
      <c r="V55" s="3">
        <v>94.4</v>
      </c>
      <c r="W55" s="3">
        <v>123.6</v>
      </c>
      <c r="X55" s="3">
        <v>142.69999999999999</v>
      </c>
      <c r="Y55" s="3">
        <v>43</v>
      </c>
      <c r="Z55" s="3">
        <v>102.6</v>
      </c>
      <c r="AA55" s="3">
        <v>181.8</v>
      </c>
      <c r="AB55" s="3">
        <v>191.4</v>
      </c>
      <c r="AC55" s="3">
        <v>96.5</v>
      </c>
      <c r="AD55" s="3">
        <v>39.700000000000003</v>
      </c>
      <c r="AE55" s="3">
        <v>90.1</v>
      </c>
      <c r="AF55" s="3">
        <v>97</v>
      </c>
      <c r="AG55" s="3">
        <v>81.2</v>
      </c>
      <c r="AH55" s="3">
        <v>0</v>
      </c>
      <c r="AI55" s="3">
        <v>0</v>
      </c>
      <c r="AJ55" s="3">
        <f>+AI70*$AY$65</f>
        <v>-775.73774679905841</v>
      </c>
      <c r="AK55" s="3">
        <f>+AJ70*$AY$65</f>
        <v>-41.478168577685032</v>
      </c>
      <c r="AL55" s="3">
        <f t="shared" ref="AL55:AV55" si="74">+AK70*$AY$65</f>
        <v>819.6734783589302</v>
      </c>
      <c r="AM55" s="3">
        <f t="shared" si="74"/>
        <v>1821.5857566679006</v>
      </c>
      <c r="AN55" s="3">
        <f t="shared" si="74"/>
        <v>2979.005377622731</v>
      </c>
      <c r="AO55" s="3">
        <f t="shared" si="74"/>
        <v>4307.4978024153261</v>
      </c>
      <c r="AP55" s="3">
        <f t="shared" si="74"/>
        <v>5823.3520688417666</v>
      </c>
      <c r="AQ55" s="3">
        <f t="shared" si="74"/>
        <v>7543.4408805831108</v>
      </c>
      <c r="AR55" s="3">
        <f t="shared" si="74"/>
        <v>9485.0251771174517</v>
      </c>
      <c r="AS55" s="3">
        <f t="shared" si="74"/>
        <v>11665.490247218713</v>
      </c>
      <c r="AT55" s="3">
        <f t="shared" si="74"/>
        <v>14101.997899108035</v>
      </c>
      <c r="AU55" s="3">
        <f t="shared" si="74"/>
        <v>16811.036186707915</v>
      </c>
      <c r="AV55" s="3">
        <f t="shared" si="74"/>
        <v>19807.84463350588</v>
      </c>
    </row>
    <row r="56" spans="1:149" x14ac:dyDescent="0.2">
      <c r="A56" s="3" t="s">
        <v>19</v>
      </c>
      <c r="B56" s="3">
        <v>-113.4</v>
      </c>
      <c r="C56" s="3">
        <v>-120.6</v>
      </c>
      <c r="D56" s="3">
        <v>-115.3</v>
      </c>
      <c r="E56" s="3">
        <v>-119.1</v>
      </c>
      <c r="F56" s="3">
        <v>-123.1</v>
      </c>
      <c r="G56" s="3">
        <v>-125.3</v>
      </c>
      <c r="H56" s="3">
        <v>-129.69999999999999</v>
      </c>
      <c r="I56" s="3">
        <v>-136.30000000000001</v>
      </c>
      <c r="J56" s="3">
        <v>-140.9</v>
      </c>
      <c r="K56" s="3">
        <v>-143.19999999999999</v>
      </c>
      <c r="L56" s="3">
        <v>-140.1</v>
      </c>
      <c r="M56" s="3">
        <v>-140.6</v>
      </c>
      <c r="N56" s="3">
        <v>-141.30000000000001</v>
      </c>
      <c r="Q56" s="9"/>
      <c r="S56" s="3">
        <v>-39.1</v>
      </c>
      <c r="T56" s="3">
        <v>-32.700000000000003</v>
      </c>
      <c r="U56" s="3">
        <v>-33.299999999999997</v>
      </c>
      <c r="V56" s="3">
        <v>-32.700000000000003</v>
      </c>
      <c r="W56" s="3">
        <v>-28.1</v>
      </c>
      <c r="X56" s="3">
        <v>-64.099999999999994</v>
      </c>
      <c r="Y56" s="3">
        <v>-70.5</v>
      </c>
      <c r="Z56" s="3">
        <v>-81.3</v>
      </c>
      <c r="AA56" s="3">
        <v>-92.5</v>
      </c>
      <c r="AB56" s="3">
        <v>-170.3</v>
      </c>
      <c r="AC56" s="3">
        <v>-331</v>
      </c>
      <c r="AD56" s="3">
        <v>-437</v>
      </c>
      <c r="AE56" s="3">
        <v>-469.8</v>
      </c>
      <c r="AF56" s="3">
        <v>-482.9</v>
      </c>
      <c r="AG56" s="3">
        <v>-550.1</v>
      </c>
      <c r="AH56" s="3">
        <f>+AG70*0.05</f>
        <v>-572.61</v>
      </c>
      <c r="AI56" s="3">
        <f>+AH70*0.05</f>
        <v>-389.30329067004379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</row>
    <row r="57" spans="1:149" x14ac:dyDescent="0.2">
      <c r="A57" s="3" t="s">
        <v>20</v>
      </c>
      <c r="B57" s="3">
        <f t="shared" ref="B57:M57" si="75">+SUM(B55:B56)+B54</f>
        <v>1679.900000000001</v>
      </c>
      <c r="C57" s="3">
        <f t="shared" si="75"/>
        <v>1673.2999999999997</v>
      </c>
      <c r="D57" s="3">
        <f t="shared" si="75"/>
        <v>1380.6</v>
      </c>
      <c r="E57" s="3">
        <f t="shared" si="75"/>
        <v>1199.0999999999997</v>
      </c>
      <c r="F57" s="3">
        <f t="shared" si="75"/>
        <v>1508.8999999999999</v>
      </c>
      <c r="G57" s="3">
        <f t="shared" si="75"/>
        <v>1403.0999999999988</v>
      </c>
      <c r="H57" s="3">
        <f t="shared" si="75"/>
        <v>1410.1</v>
      </c>
      <c r="I57" s="3">
        <f t="shared" si="75"/>
        <v>1417.6</v>
      </c>
      <c r="J57" s="3">
        <f t="shared" si="75"/>
        <v>1743.9</v>
      </c>
      <c r="K57" s="3">
        <f t="shared" si="75"/>
        <v>1825.1000000000008</v>
      </c>
      <c r="L57" s="3">
        <f t="shared" si="75"/>
        <v>1688.4999999999993</v>
      </c>
      <c r="M57" s="3">
        <f t="shared" si="75"/>
        <v>1296.3000000000002</v>
      </c>
      <c r="N57" s="3">
        <f t="shared" ref="N57" si="76">+SUM(N55:N56)+N54</f>
        <v>1710.8</v>
      </c>
      <c r="S57" s="3">
        <f t="shared" ref="S57" si="77">+SUM(S55:S56)+S54</f>
        <v>1305.1000000000008</v>
      </c>
      <c r="T57" s="3">
        <f t="shared" ref="T57:U57" si="78">+SUM(T55:T56)+T54</f>
        <v>1852.3000000000006</v>
      </c>
      <c r="U57" s="3">
        <f t="shared" si="78"/>
        <v>2130.5000000000014</v>
      </c>
      <c r="V57" s="3">
        <f t="shared" ref="V57:W57" si="79">+SUM(V55:V56)+V54</f>
        <v>2398.6999999999998</v>
      </c>
      <c r="W57" s="3">
        <f t="shared" si="79"/>
        <v>2924.2000000000007</v>
      </c>
      <c r="X57" s="3">
        <f t="shared" ref="X57:Y57" si="80">+SUM(X55:X56)+X54</f>
        <v>3580.8000000000006</v>
      </c>
      <c r="Y57" s="3">
        <f t="shared" si="80"/>
        <v>4217.5</v>
      </c>
      <c r="Z57" s="3">
        <f t="shared" ref="Z57:AA57" si="81">+SUM(Z55:Z56)+Z54</f>
        <v>4855.7999999999965</v>
      </c>
      <c r="AA57" s="3">
        <f t="shared" si="81"/>
        <v>5436.699999999998</v>
      </c>
      <c r="AB57" s="3">
        <f t="shared" ref="AB57:AC57" si="82">+SUM(AB55:AB56)+AB54</f>
        <v>5074.6000000000004</v>
      </c>
      <c r="AC57" s="3">
        <f t="shared" si="82"/>
        <v>5058.5000000000036</v>
      </c>
      <c r="AD57" s="3">
        <f t="shared" ref="AD57:AE57" si="83">+SUM(AD55:AD56)+AD54</f>
        <v>2551.8999999999969</v>
      </c>
      <c r="AE57" s="3">
        <f t="shared" si="83"/>
        <v>5719.2000000000016</v>
      </c>
      <c r="AF57" s="3">
        <f t="shared" ref="AF57:AV57" si="84">+SUM(AF55:AF56)+AF54</f>
        <v>5491.7000000000025</v>
      </c>
      <c r="AG57" s="3">
        <f t="shared" si="84"/>
        <v>6396.5999999999967</v>
      </c>
      <c r="AH57" s="3">
        <f t="shared" si="84"/>
        <v>4580.7699999999941</v>
      </c>
      <c r="AI57" s="3">
        <f t="shared" si="84"/>
        <v>4882.1987393299523</v>
      </c>
      <c r="AJ57" s="3">
        <f t="shared" si="84"/>
        <v>4587.2219577009391</v>
      </c>
      <c r="AK57" s="3">
        <f t="shared" si="84"/>
        <v>5379.9689658893167</v>
      </c>
      <c r="AL57" s="3">
        <f t="shared" si="84"/>
        <v>6259.3585961549788</v>
      </c>
      <c r="AM57" s="3">
        <f t="shared" si="84"/>
        <v>7230.8770045314559</v>
      </c>
      <c r="AN57" s="3">
        <f t="shared" si="84"/>
        <v>8299.6392589251791</v>
      </c>
      <c r="AO57" s="3">
        <f t="shared" si="84"/>
        <v>9470.1658403556739</v>
      </c>
      <c r="AP57" s="3">
        <f t="shared" si="84"/>
        <v>10746.103149963554</v>
      </c>
      <c r="AQ57" s="3">
        <f t="shared" si="84"/>
        <v>12129.876656650747</v>
      </c>
      <c r="AR57" s="3">
        <f t="shared" si="84"/>
        <v>13622.263221676098</v>
      </c>
      <c r="AS57" s="3">
        <f t="shared" si="84"/>
        <v>15221.866669995743</v>
      </c>
      <c r="AT57" s="3">
        <f t="shared" si="84"/>
        <v>16924.477781049914</v>
      </c>
      <c r="AU57" s="3">
        <f t="shared" si="84"/>
        <v>18722.296471058969</v>
      </c>
      <c r="AV57" s="3">
        <f t="shared" si="84"/>
        <v>20602.989949558872</v>
      </c>
    </row>
    <row r="58" spans="1:149" x14ac:dyDescent="0.2">
      <c r="A58" s="3" t="s">
        <v>21</v>
      </c>
      <c r="B58" s="3">
        <v>257.10000000000002</v>
      </c>
      <c r="C58" s="3">
        <v>483</v>
      </c>
      <c r="D58" s="3">
        <v>246.3</v>
      </c>
      <c r="E58" s="3">
        <v>201.1</v>
      </c>
      <c r="F58" s="3">
        <v>278.5</v>
      </c>
      <c r="G58" s="3">
        <v>222.7</v>
      </c>
      <c r="H58" s="3">
        <v>279.8</v>
      </c>
      <c r="I58" s="3">
        <v>301.3</v>
      </c>
      <c r="J58" s="3">
        <v>322.39999999999998</v>
      </c>
      <c r="K58" s="3">
        <v>373.8</v>
      </c>
      <c r="L58" s="3">
        <v>354.7</v>
      </c>
      <c r="M58" s="3">
        <v>219.9</v>
      </c>
      <c r="N58" s="3">
        <v>348.6</v>
      </c>
      <c r="S58" s="3">
        <v>168.4</v>
      </c>
      <c r="T58" s="3">
        <v>488.7</v>
      </c>
      <c r="U58" s="3">
        <v>563.1</v>
      </c>
      <c r="V58" s="3">
        <v>674.4</v>
      </c>
      <c r="W58" s="3">
        <v>-238.7</v>
      </c>
      <c r="X58" s="3">
        <v>1092</v>
      </c>
      <c r="Y58" s="3">
        <v>1143.7</v>
      </c>
      <c r="Z58" s="3">
        <v>1379.7</v>
      </c>
      <c r="AA58" s="3">
        <v>1432.6</v>
      </c>
      <c r="AB58" s="3">
        <v>1262</v>
      </c>
      <c r="AC58" s="3">
        <v>871.6</v>
      </c>
      <c r="AD58" s="3">
        <v>239.7</v>
      </c>
      <c r="AE58" s="3">
        <v>1156.5999999999999</v>
      </c>
      <c r="AF58" s="3">
        <v>948.5</v>
      </c>
      <c r="AG58" s="3">
        <v>1277.2</v>
      </c>
      <c r="AH58" s="3">
        <f>+AH57*$AG$65</f>
        <v>914.63581340086853</v>
      </c>
      <c r="AI58" s="3">
        <f t="shared" ref="AI58:AV58" si="85">+AI57*$AG$65</f>
        <v>974.82165992436899</v>
      </c>
      <c r="AJ58" s="3">
        <f t="shared" si="85"/>
        <v>915.92406659407231</v>
      </c>
      <c r="AK58" s="3">
        <f t="shared" si="85"/>
        <v>1074.2107312062406</v>
      </c>
      <c r="AL58" s="3">
        <f t="shared" si="85"/>
        <v>1249.7972046101277</v>
      </c>
      <c r="AM58" s="3">
        <f t="shared" si="85"/>
        <v>1443.7788997573055</v>
      </c>
      <c r="AN58" s="3">
        <f t="shared" si="85"/>
        <v>1657.1771349622056</v>
      </c>
      <c r="AO58" s="3">
        <f t="shared" si="85"/>
        <v>1890.8945082234738</v>
      </c>
      <c r="AP58" s="3">
        <f t="shared" si="85"/>
        <v>2145.6590912568331</v>
      </c>
      <c r="AQ58" s="3">
        <f t="shared" si="85"/>
        <v>2421.9551739790427</v>
      </c>
      <c r="AR58" s="3">
        <f t="shared" si="85"/>
        <v>2719.9378711697968</v>
      </c>
      <c r="AS58" s="3">
        <f t="shared" si="85"/>
        <v>3039.3284105491311</v>
      </c>
      <c r="AT58" s="3">
        <f t="shared" si="85"/>
        <v>3379.2863430505208</v>
      </c>
      <c r="AU58" s="3">
        <f t="shared" si="85"/>
        <v>3738.2542370691508</v>
      </c>
      <c r="AV58" s="3">
        <f t="shared" si="85"/>
        <v>4113.76962192049</v>
      </c>
    </row>
    <row r="59" spans="1:149" s="11" customFormat="1" x14ac:dyDescent="0.2">
      <c r="A59" s="11" t="s">
        <v>22</v>
      </c>
      <c r="B59" s="11">
        <f t="shared" ref="B59:M59" si="86">+B57-B58</f>
        <v>1422.8000000000011</v>
      </c>
      <c r="C59" s="11">
        <f t="shared" si="86"/>
        <v>1190.2999999999997</v>
      </c>
      <c r="D59" s="11">
        <f t="shared" si="86"/>
        <v>1134.3</v>
      </c>
      <c r="E59" s="11">
        <f t="shared" si="86"/>
        <v>997.99999999999966</v>
      </c>
      <c r="F59" s="11">
        <f t="shared" si="86"/>
        <v>1230.3999999999999</v>
      </c>
      <c r="G59" s="11">
        <f t="shared" si="86"/>
        <v>1180.3999999999987</v>
      </c>
      <c r="H59" s="11">
        <f t="shared" si="86"/>
        <v>1130.3</v>
      </c>
      <c r="I59" s="11">
        <f t="shared" si="86"/>
        <v>1116.3</v>
      </c>
      <c r="J59" s="11">
        <f t="shared" si="86"/>
        <v>1421.5</v>
      </c>
      <c r="K59" s="11">
        <f t="shared" si="86"/>
        <v>1451.3000000000009</v>
      </c>
      <c r="L59" s="11">
        <f t="shared" si="86"/>
        <v>1333.7999999999993</v>
      </c>
      <c r="M59" s="11">
        <f t="shared" si="86"/>
        <v>1076.4000000000001</v>
      </c>
      <c r="N59" s="11">
        <f t="shared" ref="N59" si="87">+N57-N58</f>
        <v>1362.1999999999998</v>
      </c>
      <c r="S59" s="11">
        <f t="shared" ref="S59" si="88">+S57-S58</f>
        <v>1136.7000000000007</v>
      </c>
      <c r="T59" s="11">
        <f t="shared" ref="T59:U59" si="89">+T57-T58</f>
        <v>1363.6000000000006</v>
      </c>
      <c r="U59" s="11">
        <f t="shared" si="89"/>
        <v>1567.4000000000015</v>
      </c>
      <c r="V59" s="11">
        <f t="shared" ref="V59:W59" si="90">+V57-V58</f>
        <v>1724.2999999999997</v>
      </c>
      <c r="W59" s="11">
        <f t="shared" si="90"/>
        <v>3162.9000000000005</v>
      </c>
      <c r="X59" s="11">
        <f t="shared" ref="X59:Y59" si="91">+X57-X58</f>
        <v>2488.8000000000006</v>
      </c>
      <c r="Y59" s="11">
        <f t="shared" si="91"/>
        <v>3073.8</v>
      </c>
      <c r="Z59" s="11">
        <f t="shared" ref="Z59:AA59" si="92">+Z57-Z58</f>
        <v>3476.0999999999967</v>
      </c>
      <c r="AA59" s="11">
        <f t="shared" si="92"/>
        <v>4004.0999999999981</v>
      </c>
      <c r="AB59" s="11">
        <f t="shared" ref="AB59:AC59" si="93">+AB57-AB58</f>
        <v>3812.6000000000004</v>
      </c>
      <c r="AC59" s="11">
        <f t="shared" si="93"/>
        <v>4186.9000000000033</v>
      </c>
      <c r="AD59" s="11">
        <f t="shared" ref="AD59:AE59" si="94">+AD57-AD58</f>
        <v>2312.1999999999971</v>
      </c>
      <c r="AE59" s="11">
        <f t="shared" si="94"/>
        <v>4562.6000000000022</v>
      </c>
      <c r="AF59" s="11">
        <f t="shared" ref="AF59:AV59" si="95">+AF57-AF58</f>
        <v>4543.2000000000025</v>
      </c>
      <c r="AG59" s="11">
        <f t="shared" si="95"/>
        <v>5119.3999999999969</v>
      </c>
      <c r="AH59" s="11">
        <f t="shared" si="95"/>
        <v>3666.1341865991253</v>
      </c>
      <c r="AI59" s="11">
        <f t="shared" si="95"/>
        <v>3907.3770794055836</v>
      </c>
      <c r="AJ59" s="11">
        <f t="shared" si="95"/>
        <v>3671.2978911068667</v>
      </c>
      <c r="AK59" s="11">
        <f t="shared" si="95"/>
        <v>4305.7582346830759</v>
      </c>
      <c r="AL59" s="11">
        <f t="shared" si="95"/>
        <v>5009.5613915448512</v>
      </c>
      <c r="AM59" s="11">
        <f t="shared" si="95"/>
        <v>5787.0981047741507</v>
      </c>
      <c r="AN59" s="11">
        <f t="shared" si="95"/>
        <v>6642.4621239629732</v>
      </c>
      <c r="AO59" s="11">
        <f t="shared" si="95"/>
        <v>7579.2713321321999</v>
      </c>
      <c r="AP59" s="11">
        <f t="shared" si="95"/>
        <v>8600.4440587067202</v>
      </c>
      <c r="AQ59" s="11">
        <f t="shared" si="95"/>
        <v>9707.9214826717052</v>
      </c>
      <c r="AR59" s="11">
        <f t="shared" si="95"/>
        <v>10902.3253505063</v>
      </c>
      <c r="AS59" s="11">
        <f t="shared" si="95"/>
        <v>12182.538259446612</v>
      </c>
      <c r="AT59" s="11">
        <f t="shared" si="95"/>
        <v>13545.191437999394</v>
      </c>
      <c r="AU59" s="11">
        <f t="shared" si="95"/>
        <v>14984.042233989818</v>
      </c>
      <c r="AV59" s="11">
        <f t="shared" si="95"/>
        <v>16489.220327638381</v>
      </c>
      <c r="AW59" s="11">
        <f>+AV59*(1+$AY$63)</f>
        <v>16324.328124361997</v>
      </c>
      <c r="AX59" s="11">
        <f t="shared" ref="AX59:DI59" si="96">+AW59*(1+$AY$63)</f>
        <v>16161.084843118377</v>
      </c>
      <c r="AY59" s="11">
        <f t="shared" si="96"/>
        <v>15999.473994687192</v>
      </c>
      <c r="AZ59" s="11">
        <f t="shared" si="96"/>
        <v>15839.479254740319</v>
      </c>
      <c r="BA59" s="11">
        <f t="shared" si="96"/>
        <v>15681.084462192915</v>
      </c>
      <c r="BB59" s="11">
        <f t="shared" si="96"/>
        <v>15524.273617570987</v>
      </c>
      <c r="BC59" s="11">
        <f t="shared" si="96"/>
        <v>15369.030881395276</v>
      </c>
      <c r="BD59" s="11">
        <f t="shared" si="96"/>
        <v>15215.340572581323</v>
      </c>
      <c r="BE59" s="11">
        <f t="shared" si="96"/>
        <v>15063.187166855509</v>
      </c>
      <c r="BF59" s="11">
        <f t="shared" si="96"/>
        <v>14912.555295186954</v>
      </c>
      <c r="BG59" s="11">
        <f t="shared" si="96"/>
        <v>14763.429742235085</v>
      </c>
      <c r="BH59" s="11">
        <f t="shared" si="96"/>
        <v>14615.795444812733</v>
      </c>
      <c r="BI59" s="11">
        <f t="shared" si="96"/>
        <v>14469.637490364605</v>
      </c>
      <c r="BJ59" s="11">
        <f t="shared" si="96"/>
        <v>14324.941115460959</v>
      </c>
      <c r="BK59" s="11">
        <f t="shared" si="96"/>
        <v>14181.691704306349</v>
      </c>
      <c r="BL59" s="11">
        <f t="shared" si="96"/>
        <v>14039.874787263287</v>
      </c>
      <c r="BM59" s="11">
        <f t="shared" si="96"/>
        <v>13899.476039390654</v>
      </c>
      <c r="BN59" s="11">
        <f t="shared" si="96"/>
        <v>13760.481278996747</v>
      </c>
      <c r="BO59" s="11">
        <f t="shared" si="96"/>
        <v>13622.876466206779</v>
      </c>
      <c r="BP59" s="11">
        <f t="shared" si="96"/>
        <v>13486.647701544711</v>
      </c>
      <c r="BQ59" s="11">
        <f t="shared" si="96"/>
        <v>13351.781224529264</v>
      </c>
      <c r="BR59" s="11">
        <f t="shared" si="96"/>
        <v>13218.263412283972</v>
      </c>
      <c r="BS59" s="11">
        <f t="shared" si="96"/>
        <v>13086.080778161131</v>
      </c>
      <c r="BT59" s="11">
        <f t="shared" si="96"/>
        <v>12955.21997037952</v>
      </c>
      <c r="BU59" s="11">
        <f t="shared" si="96"/>
        <v>12825.667770675724</v>
      </c>
      <c r="BV59" s="11">
        <f t="shared" si="96"/>
        <v>12697.411092968967</v>
      </c>
      <c r="BW59" s="11">
        <f t="shared" si="96"/>
        <v>12570.436982039277</v>
      </c>
      <c r="BX59" s="11">
        <f t="shared" si="96"/>
        <v>12444.732612218884</v>
      </c>
      <c r="BY59" s="11">
        <f t="shared" si="96"/>
        <v>12320.285286096696</v>
      </c>
      <c r="BZ59" s="11">
        <f t="shared" si="96"/>
        <v>12197.08243323573</v>
      </c>
      <c r="CA59" s="11">
        <f t="shared" si="96"/>
        <v>12075.111608903373</v>
      </c>
      <c r="CB59" s="11">
        <f t="shared" si="96"/>
        <v>11954.36049281434</v>
      </c>
      <c r="CC59" s="11">
        <f t="shared" si="96"/>
        <v>11834.816887886196</v>
      </c>
      <c r="CD59" s="11">
        <f t="shared" si="96"/>
        <v>11716.468719007335</v>
      </c>
      <c r="CE59" s="11">
        <f t="shared" si="96"/>
        <v>11599.304031817261</v>
      </c>
      <c r="CF59" s="11">
        <f t="shared" si="96"/>
        <v>11483.310991499087</v>
      </c>
      <c r="CG59" s="11">
        <f t="shared" si="96"/>
        <v>11368.477881584096</v>
      </c>
      <c r="CH59" s="11">
        <f t="shared" si="96"/>
        <v>11254.793102768255</v>
      </c>
      <c r="CI59" s="11">
        <f t="shared" si="96"/>
        <v>11142.245171740573</v>
      </c>
      <c r="CJ59" s="11">
        <f t="shared" si="96"/>
        <v>11030.822720023167</v>
      </c>
      <c r="CK59" s="11">
        <f t="shared" si="96"/>
        <v>10920.514492822935</v>
      </c>
      <c r="CL59" s="11">
        <f t="shared" si="96"/>
        <v>10811.309347894705</v>
      </c>
      <c r="CM59" s="11">
        <f t="shared" si="96"/>
        <v>10703.196254415758</v>
      </c>
      <c r="CN59" s="11">
        <f t="shared" si="96"/>
        <v>10596.164291871601</v>
      </c>
      <c r="CO59" s="11">
        <f t="shared" si="96"/>
        <v>10490.202648952885</v>
      </c>
      <c r="CP59" s="11">
        <f t="shared" si="96"/>
        <v>10385.300622463355</v>
      </c>
      <c r="CQ59" s="11">
        <f t="shared" si="96"/>
        <v>10281.447616238722</v>
      </c>
      <c r="CR59" s="11">
        <f t="shared" si="96"/>
        <v>10178.633140076334</v>
      </c>
      <c r="CS59" s="11">
        <f t="shared" si="96"/>
        <v>10076.846808675571</v>
      </c>
      <c r="CT59" s="11">
        <f t="shared" si="96"/>
        <v>9976.078340588816</v>
      </c>
      <c r="CU59" s="11">
        <f t="shared" si="96"/>
        <v>9876.317557182927</v>
      </c>
      <c r="CV59" s="11">
        <f t="shared" si="96"/>
        <v>9777.5543816110985</v>
      </c>
      <c r="CW59" s="11">
        <f t="shared" si="96"/>
        <v>9679.7788377949873</v>
      </c>
      <c r="CX59" s="11">
        <f t="shared" si="96"/>
        <v>9582.9810494170379</v>
      </c>
      <c r="CY59" s="11">
        <f t="shared" si="96"/>
        <v>9487.1512389228683</v>
      </c>
      <c r="CZ59" s="11">
        <f t="shared" si="96"/>
        <v>9392.2797265336394</v>
      </c>
      <c r="DA59" s="11">
        <f t="shared" si="96"/>
        <v>9298.3569292683023</v>
      </c>
      <c r="DB59" s="11">
        <f t="shared" si="96"/>
        <v>9205.3733599756197</v>
      </c>
      <c r="DC59" s="11">
        <f t="shared" si="96"/>
        <v>9113.3196263758637</v>
      </c>
      <c r="DD59" s="11">
        <f t="shared" si="96"/>
        <v>9022.1864301121041</v>
      </c>
      <c r="DE59" s="11">
        <f t="shared" si="96"/>
        <v>8931.9645658109821</v>
      </c>
      <c r="DF59" s="11">
        <f t="shared" si="96"/>
        <v>8842.6449201528721</v>
      </c>
      <c r="DG59" s="11">
        <f t="shared" si="96"/>
        <v>8754.218470951344</v>
      </c>
      <c r="DH59" s="11">
        <f t="shared" si="96"/>
        <v>8666.6762862418309</v>
      </c>
      <c r="DI59" s="11">
        <f t="shared" si="96"/>
        <v>8580.0095233794127</v>
      </c>
      <c r="DJ59" s="11">
        <f t="shared" ref="DJ59:ES59" si="97">+DI59*(1+$AY$63)</f>
        <v>8494.2094281456193</v>
      </c>
      <c r="DK59" s="11">
        <f t="shared" si="97"/>
        <v>8409.2673338641634</v>
      </c>
      <c r="DL59" s="11">
        <f t="shared" si="97"/>
        <v>8325.1746605255212</v>
      </c>
      <c r="DM59" s="11">
        <f t="shared" si="97"/>
        <v>8241.9229139202653</v>
      </c>
      <c r="DN59" s="11">
        <f t="shared" si="97"/>
        <v>8159.5036847810625</v>
      </c>
      <c r="DO59" s="11">
        <f t="shared" si="97"/>
        <v>8077.9086479332518</v>
      </c>
      <c r="DP59" s="11">
        <f t="shared" si="97"/>
        <v>7997.1295614539195</v>
      </c>
      <c r="DQ59" s="11">
        <f t="shared" si="97"/>
        <v>7917.15826583938</v>
      </c>
      <c r="DR59" s="11">
        <f t="shared" si="97"/>
        <v>7837.9866831809859</v>
      </c>
      <c r="DS59" s="11">
        <f t="shared" si="97"/>
        <v>7759.6068163491764</v>
      </c>
      <c r="DT59" s="11">
        <f t="shared" si="97"/>
        <v>7682.0107481856849</v>
      </c>
      <c r="DU59" s="11">
        <f t="shared" si="97"/>
        <v>7605.1906407038277</v>
      </c>
      <c r="DV59" s="11">
        <f t="shared" si="97"/>
        <v>7529.1387342967892</v>
      </c>
      <c r="DW59" s="11">
        <f t="shared" si="97"/>
        <v>7453.8473469538212</v>
      </c>
      <c r="DX59" s="11">
        <f t="shared" si="97"/>
        <v>7379.3088734842831</v>
      </c>
      <c r="DY59" s="11">
        <f t="shared" si="97"/>
        <v>7305.5157847494402</v>
      </c>
      <c r="DZ59" s="11">
        <f t="shared" si="97"/>
        <v>7232.4606269019459</v>
      </c>
      <c r="EA59" s="11">
        <f t="shared" si="97"/>
        <v>7160.1360206329264</v>
      </c>
      <c r="EB59" s="11">
        <f t="shared" si="97"/>
        <v>7088.5346604265969</v>
      </c>
      <c r="EC59" s="11">
        <f t="shared" si="97"/>
        <v>7017.6493138223314</v>
      </c>
      <c r="ED59" s="11">
        <f t="shared" si="97"/>
        <v>6947.4728206841082</v>
      </c>
      <c r="EE59" s="11">
        <f t="shared" si="97"/>
        <v>6877.9980924772672</v>
      </c>
      <c r="EF59" s="11">
        <f t="shared" si="97"/>
        <v>6809.2181115524945</v>
      </c>
      <c r="EG59" s="11">
        <f t="shared" si="97"/>
        <v>6741.1259304369696</v>
      </c>
      <c r="EH59" s="11">
        <f t="shared" si="97"/>
        <v>6673.7146711325995</v>
      </c>
      <c r="EI59" s="11">
        <f t="shared" si="97"/>
        <v>6606.9775244212733</v>
      </c>
      <c r="EJ59" s="11">
        <f t="shared" si="97"/>
        <v>6540.9077491770604</v>
      </c>
      <c r="EK59" s="11">
        <f t="shared" si="97"/>
        <v>6475.49867168529</v>
      </c>
      <c r="EL59" s="11">
        <f t="shared" si="97"/>
        <v>6410.7436849684373</v>
      </c>
      <c r="EM59" s="11">
        <f t="shared" si="97"/>
        <v>6346.6362481187525</v>
      </c>
      <c r="EN59" s="11">
        <f t="shared" si="97"/>
        <v>6283.1698856375651</v>
      </c>
      <c r="EO59" s="11">
        <f t="shared" si="97"/>
        <v>6220.3381867811895</v>
      </c>
      <c r="EP59" s="11">
        <f t="shared" si="97"/>
        <v>6158.1348049133776</v>
      </c>
      <c r="EQ59" s="11">
        <f t="shared" si="97"/>
        <v>6096.5534568642433</v>
      </c>
      <c r="ER59" s="11">
        <f t="shared" si="97"/>
        <v>6035.5879222956009</v>
      </c>
      <c r="ES59" s="11">
        <f t="shared" si="97"/>
        <v>5975.232043072645</v>
      </c>
    </row>
    <row r="60" spans="1:149" x14ac:dyDescent="0.2">
      <c r="A60" s="3" t="s">
        <v>23</v>
      </c>
      <c r="B60" s="4">
        <f t="shared" ref="B60:M60" si="98">+B59/B61</f>
        <v>1.1994604619794309</v>
      </c>
      <c r="C60" s="4">
        <f t="shared" si="98"/>
        <v>1.0020203720851921</v>
      </c>
      <c r="D60" s="4">
        <f t="shared" si="98"/>
        <v>0.9640489546149924</v>
      </c>
      <c r="E60" s="4">
        <f t="shared" si="98"/>
        <v>0.86707211120764527</v>
      </c>
      <c r="F60" s="4">
        <f t="shared" si="98"/>
        <v>1.0689834926151172</v>
      </c>
      <c r="G60" s="4">
        <f t="shared" si="98"/>
        <v>1.0242082429501074</v>
      </c>
      <c r="H60" s="4">
        <f t="shared" si="98"/>
        <v>0.98039725908578357</v>
      </c>
      <c r="I60" s="4">
        <f t="shared" si="98"/>
        <v>0.96842196581938056</v>
      </c>
      <c r="J60" s="4">
        <f t="shared" si="98"/>
        <v>1.2355497609734898</v>
      </c>
      <c r="K60" s="4">
        <f t="shared" si="98"/>
        <v>1.2626587784931276</v>
      </c>
      <c r="L60" s="4">
        <f t="shared" si="98"/>
        <v>1.1693845344555491</v>
      </c>
      <c r="M60" s="4">
        <f t="shared" si="98"/>
        <v>0.94803593447243262</v>
      </c>
      <c r="N60" s="4">
        <f t="shared" ref="N60" si="99">+N59/N61</f>
        <v>1.1993308681105828</v>
      </c>
      <c r="O60" s="4"/>
      <c r="P60" s="4"/>
      <c r="Q60" s="4"/>
      <c r="R60" s="4"/>
      <c r="S60" s="4">
        <f t="shared" ref="S60" si="100">+S59/S61</f>
        <v>1.5239308218259831</v>
      </c>
      <c r="T60" s="4">
        <f t="shared" ref="T60:U60" si="101">+T59/T61</f>
        <v>1.7843496466893489</v>
      </c>
      <c r="U60" s="4">
        <f t="shared" si="101"/>
        <v>2.0363778095361846</v>
      </c>
      <c r="V60" s="4">
        <f t="shared" ref="V60:W60" si="102">+V59/V61</f>
        <v>2.2306597671410087</v>
      </c>
      <c r="W60" s="4">
        <f t="shared" si="102"/>
        <v>2.0747130206625126</v>
      </c>
      <c r="X60" s="4">
        <f t="shared" ref="X60:Y60" si="103">+X59/X61</f>
        <v>1.6306099718272953</v>
      </c>
      <c r="Y60" s="4">
        <f t="shared" si="103"/>
        <v>2.031055900621118</v>
      </c>
      <c r="Z60" s="4">
        <f t="shared" ref="Z60:AA60" si="104">+Z59/Z61</f>
        <v>2.3381314320306696</v>
      </c>
      <c r="AA60" s="4">
        <f t="shared" si="104"/>
        <v>2.7397194663017435</v>
      </c>
      <c r="AB60" s="4">
        <f t="shared" ref="AB60:AC60" si="105">+AB59/AB61</f>
        <v>2.7338304890291125</v>
      </c>
      <c r="AC60" s="4">
        <f t="shared" si="105"/>
        <v>3.3951508271164474</v>
      </c>
      <c r="AD60" s="4">
        <f t="shared" ref="AD60:AE60" si="106">+AD59/AD61</f>
        <v>1.9565070231849697</v>
      </c>
      <c r="AE60" s="4">
        <f t="shared" si="106"/>
        <v>3.848671446646986</v>
      </c>
      <c r="AF60" s="4">
        <f t="shared" ref="AF60:AV60" si="107">+AF59/AF61</f>
        <v>3.921622788088047</v>
      </c>
      <c r="AG60" s="4">
        <f t="shared" si="107"/>
        <v>4.4466255537218773</v>
      </c>
      <c r="AH60" s="4">
        <f t="shared" si="107"/>
        <v>3.2828279162677827</v>
      </c>
      <c r="AI60" s="4">
        <f t="shared" si="107"/>
        <v>3.6070598751224598</v>
      </c>
      <c r="AJ60" s="4">
        <f t="shared" si="107"/>
        <v>3.4939438183125917</v>
      </c>
      <c r="AK60" s="4">
        <f t="shared" si="107"/>
        <v>4.2244891508543834</v>
      </c>
      <c r="AL60" s="4">
        <f t="shared" si="107"/>
        <v>5.0670189349016024</v>
      </c>
      <c r="AM60" s="4">
        <f t="shared" si="107"/>
        <v>6.0345089322519803</v>
      </c>
      <c r="AN60" s="4">
        <f t="shared" si="107"/>
        <v>7.1406614367096912</v>
      </c>
      <c r="AO60" s="4">
        <f t="shared" si="107"/>
        <v>8.3997251568225089</v>
      </c>
      <c r="AP60" s="4">
        <f t="shared" si="107"/>
        <v>9.8262263108936665</v>
      </c>
      <c r="AQ60" s="4">
        <f t="shared" si="107"/>
        <v>11.434585015451418</v>
      </c>
      <c r="AR60" s="4">
        <f t="shared" si="107"/>
        <v>13.238584647057317</v>
      </c>
      <c r="AS60" s="4">
        <f t="shared" si="107"/>
        <v>15.250653999922269</v>
      </c>
      <c r="AT60" s="4">
        <f t="shared" si="107"/>
        <v>17.480912432520324</v>
      </c>
      <c r="AU60" s="4">
        <f t="shared" si="107"/>
        <v>19.935916413053601</v>
      </c>
      <c r="AV60" s="4">
        <f t="shared" si="107"/>
        <v>22.617031473913784</v>
      </c>
    </row>
    <row r="61" spans="1:149" x14ac:dyDescent="0.2">
      <c r="A61" s="3" t="s">
        <v>4</v>
      </c>
      <c r="B61" s="3">
        <v>1186.2</v>
      </c>
      <c r="C61" s="3">
        <v>1187.9000000000001</v>
      </c>
      <c r="D61" s="3">
        <v>1176.5999999999999</v>
      </c>
      <c r="E61" s="3">
        <v>1151</v>
      </c>
      <c r="F61" s="3">
        <v>1151</v>
      </c>
      <c r="G61" s="3">
        <v>1152.5</v>
      </c>
      <c r="H61" s="3">
        <v>1152.9000000000001</v>
      </c>
      <c r="I61" s="3">
        <v>1152.7</v>
      </c>
      <c r="J61" s="3">
        <v>1150.5</v>
      </c>
      <c r="K61" s="3">
        <v>1149.4000000000001</v>
      </c>
      <c r="L61" s="3">
        <v>1140.5999999999999</v>
      </c>
      <c r="M61" s="3">
        <v>1135.4000000000001</v>
      </c>
      <c r="N61" s="3">
        <v>1135.8</v>
      </c>
      <c r="Q61" s="9"/>
      <c r="S61" s="3">
        <v>745.9</v>
      </c>
      <c r="T61" s="3">
        <v>764.2</v>
      </c>
      <c r="U61" s="3">
        <v>769.7</v>
      </c>
      <c r="V61" s="3">
        <v>773</v>
      </c>
      <c r="W61" s="3">
        <v>1524.5</v>
      </c>
      <c r="X61" s="3">
        <v>1526.3</v>
      </c>
      <c r="Y61" s="3">
        <v>1513.4</v>
      </c>
      <c r="Z61" s="3">
        <v>1486.7</v>
      </c>
      <c r="AA61" s="3">
        <v>1461.5</v>
      </c>
      <c r="AB61" s="3">
        <v>1394.6</v>
      </c>
      <c r="AC61" s="3">
        <v>1233.2</v>
      </c>
      <c r="AD61" s="3">
        <v>1181.8</v>
      </c>
      <c r="AE61" s="3">
        <v>1185.5</v>
      </c>
      <c r="AF61" s="3">
        <v>1158.5</v>
      </c>
      <c r="AG61" s="3">
        <v>1151.3</v>
      </c>
      <c r="AH61" s="3">
        <f>+AG61*0.97</f>
        <v>1116.761</v>
      </c>
      <c r="AI61" s="3">
        <f t="shared" ref="AI61:AV61" si="108">+AH61*0.97</f>
        <v>1083.2581699999998</v>
      </c>
      <c r="AJ61" s="3">
        <f t="shared" si="108"/>
        <v>1050.7604248999999</v>
      </c>
      <c r="AK61" s="3">
        <f t="shared" si="108"/>
        <v>1019.2376121529999</v>
      </c>
      <c r="AL61" s="3">
        <f t="shared" si="108"/>
        <v>988.66048378840981</v>
      </c>
      <c r="AM61" s="3">
        <f t="shared" si="108"/>
        <v>959.00066927475746</v>
      </c>
      <c r="AN61" s="3">
        <f t="shared" si="108"/>
        <v>930.23064919651472</v>
      </c>
      <c r="AO61" s="3">
        <f t="shared" si="108"/>
        <v>902.32372972061921</v>
      </c>
      <c r="AP61" s="3">
        <f t="shared" si="108"/>
        <v>875.25401782900065</v>
      </c>
      <c r="AQ61" s="3">
        <f t="shared" si="108"/>
        <v>848.99639729413059</v>
      </c>
      <c r="AR61" s="3">
        <f t="shared" si="108"/>
        <v>823.52650537530667</v>
      </c>
      <c r="AS61" s="3">
        <f t="shared" si="108"/>
        <v>798.82071021404749</v>
      </c>
      <c r="AT61" s="3">
        <f t="shared" si="108"/>
        <v>774.85608890762603</v>
      </c>
      <c r="AU61" s="3">
        <f t="shared" si="108"/>
        <v>751.6104062403972</v>
      </c>
      <c r="AV61" s="3">
        <f t="shared" si="108"/>
        <v>729.06209405318521</v>
      </c>
    </row>
    <row r="63" spans="1:149" s="9" customFormat="1" x14ac:dyDescent="0.2">
      <c r="A63" s="9" t="s">
        <v>24</v>
      </c>
      <c r="B63" s="9">
        <f t="shared" ref="B63:N63" si="109">+B54/B48</f>
        <v>0.23441606082838673</v>
      </c>
      <c r="C63" s="9">
        <f t="shared" si="109"/>
        <v>0.21756048461340172</v>
      </c>
      <c r="D63" s="9">
        <f t="shared" si="109"/>
        <v>0.18582927556394715</v>
      </c>
      <c r="E63" s="9">
        <f t="shared" si="109"/>
        <v>0.16657499083241653</v>
      </c>
      <c r="F63" s="9">
        <f t="shared" si="109"/>
        <v>0.19781352376044462</v>
      </c>
      <c r="G63" s="9">
        <f t="shared" si="109"/>
        <v>0.17796106581730869</v>
      </c>
      <c r="H63" s="9">
        <f t="shared" si="109"/>
        <v>0.17537497561367468</v>
      </c>
      <c r="I63" s="9">
        <f t="shared" si="109"/>
        <v>0.17609348838276109</v>
      </c>
      <c r="J63" s="9">
        <f t="shared" si="109"/>
        <v>0.20325469280019198</v>
      </c>
      <c r="K63" s="9">
        <f t="shared" si="109"/>
        <v>0.20677221131689005</v>
      </c>
      <c r="L63" s="9">
        <f t="shared" si="109"/>
        <v>0.19042364699266862</v>
      </c>
      <c r="M63" s="9">
        <f t="shared" si="109"/>
        <v>0.16382109073922693</v>
      </c>
      <c r="N63" s="9">
        <f t="shared" si="109"/>
        <v>0.20013386146435666</v>
      </c>
      <c r="S63" s="9">
        <f t="shared" ref="S63:AG63" si="110">+S54/S48</f>
        <v>0.13373437276205682</v>
      </c>
      <c r="T63" s="9">
        <f t="shared" si="110"/>
        <v>0.17134878682032992</v>
      </c>
      <c r="U63" s="9">
        <f t="shared" si="110"/>
        <v>0.17502820416396034</v>
      </c>
      <c r="V63" s="9">
        <f t="shared" si="110"/>
        <v>0.17572089176284822</v>
      </c>
      <c r="W63" s="9">
        <f t="shared" si="110"/>
        <v>0.19026959399467272</v>
      </c>
      <c r="X63" s="9">
        <f t="shared" si="110"/>
        <v>0.21292817276474671</v>
      </c>
      <c r="Y63" s="9">
        <f t="shared" si="110"/>
        <v>0.22152410672817505</v>
      </c>
      <c r="Z63" s="9">
        <f t="shared" si="110"/>
        <v>0.226802527690597</v>
      </c>
      <c r="AA63" s="9">
        <f t="shared" si="110"/>
        <v>0.23886397341290394</v>
      </c>
      <c r="AB63" s="9">
        <f t="shared" si="110"/>
        <v>0.20443374663727018</v>
      </c>
      <c r="AC63" s="9">
        <f t="shared" si="110"/>
        <v>0.19967105014976283</v>
      </c>
      <c r="AD63" s="9">
        <f t="shared" si="110"/>
        <v>0.12540181988264298</v>
      </c>
      <c r="AE63" s="9">
        <f t="shared" si="110"/>
        <v>0.20986834408098945</v>
      </c>
      <c r="AF63" s="9">
        <f t="shared" si="110"/>
        <v>0.18224946744681453</v>
      </c>
      <c r="AG63" s="9">
        <f t="shared" si="110"/>
        <v>0.19083767887123484</v>
      </c>
      <c r="AH63" s="9">
        <f t="shared" ref="AH63:AV63" si="111">+AH54/AH48</f>
        <v>0.13983203430459354</v>
      </c>
      <c r="AI63" s="9">
        <f t="shared" si="111"/>
        <v>0.13244181716762063</v>
      </c>
      <c r="AJ63" s="9">
        <f t="shared" si="111"/>
        <v>0.12475889832806343</v>
      </c>
      <c r="AK63" s="9">
        <f t="shared" si="111"/>
        <v>0.11677731056554636</v>
      </c>
      <c r="AL63" s="9">
        <f t="shared" si="111"/>
        <v>0.10849088379980924</v>
      </c>
      <c r="AM63" s="9">
        <f t="shared" si="111"/>
        <v>9.9893239240006856E-2</v>
      </c>
      <c r="AN63" s="9">
        <f t="shared" si="111"/>
        <v>9.0977783317517394E-2</v>
      </c>
      <c r="AO63" s="9">
        <f t="shared" si="111"/>
        <v>8.1737701395039788E-2</v>
      </c>
      <c r="AP63" s="9">
        <f t="shared" si="111"/>
        <v>7.216595124448151E-2</v>
      </c>
      <c r="AQ63" s="9">
        <f t="shared" si="111"/>
        <v>6.2255256285854918E-2</v>
      </c>
      <c r="AR63" s="9">
        <f t="shared" si="111"/>
        <v>5.1998098579111647E-2</v>
      </c>
      <c r="AS63" s="9">
        <f t="shared" si="111"/>
        <v>4.1386711560529241E-2</v>
      </c>
      <c r="AT63" s="9">
        <f t="shared" si="111"/>
        <v>3.0413072514960098E-2</v>
      </c>
      <c r="AU63" s="9">
        <f t="shared" si="111"/>
        <v>1.9068894774922386E-2</v>
      </c>
      <c r="AV63" s="9">
        <f t="shared" si="111"/>
        <v>7.3456196371685101E-3</v>
      </c>
      <c r="AX63" s="9" t="s">
        <v>142</v>
      </c>
      <c r="AY63" s="9">
        <v>-0.01</v>
      </c>
    </row>
    <row r="64" spans="1:149" s="9" customFormat="1" x14ac:dyDescent="0.2">
      <c r="A64" s="9" t="s">
        <v>22</v>
      </c>
      <c r="B64" s="9">
        <f t="shared" ref="B64:N64" si="112">+B59/B48</f>
        <v>0.18979523777762972</v>
      </c>
      <c r="C64" s="9">
        <f t="shared" si="112"/>
        <v>0.14610824014631688</v>
      </c>
      <c r="D64" s="9">
        <f t="shared" si="112"/>
        <v>0.14089983106429493</v>
      </c>
      <c r="E64" s="9">
        <f t="shared" si="112"/>
        <v>0.13070354654513067</v>
      </c>
      <c r="F64" s="9">
        <f t="shared" si="112"/>
        <v>0.15096747279174486</v>
      </c>
      <c r="G64" s="9">
        <f t="shared" si="112"/>
        <v>0.14028665826816558</v>
      </c>
      <c r="H64" s="9">
        <f t="shared" si="112"/>
        <v>0.12971229874109183</v>
      </c>
      <c r="I64" s="9">
        <f t="shared" si="112"/>
        <v>0.12801899126126748</v>
      </c>
      <c r="J64" s="9">
        <f t="shared" si="112"/>
        <v>0.15504510105472116</v>
      </c>
      <c r="K64" s="9">
        <f t="shared" si="112"/>
        <v>0.15482845438252121</v>
      </c>
      <c r="L64" s="9">
        <f t="shared" si="112"/>
        <v>0.14151273699510886</v>
      </c>
      <c r="M64" s="9">
        <f t="shared" si="112"/>
        <v>0.12570360854840595</v>
      </c>
      <c r="N64" s="9">
        <f t="shared" si="112"/>
        <v>0.14946400553001457</v>
      </c>
      <c r="S64" s="9">
        <f t="shared" ref="S64:AG64" si="113">+S59/S48</f>
        <v>0.11629120373212209</v>
      </c>
      <c r="T64" s="9">
        <f t="shared" si="113"/>
        <v>0.1273511776901956</v>
      </c>
      <c r="U64" s="9">
        <f t="shared" si="113"/>
        <v>0.13396123209462937</v>
      </c>
      <c r="V64" s="9">
        <f t="shared" si="113"/>
        <v>0.1296514906575435</v>
      </c>
      <c r="W64" s="9">
        <f t="shared" si="113"/>
        <v>0.21274921301154251</v>
      </c>
      <c r="X64" s="9">
        <f t="shared" si="113"/>
        <v>0.15131506949257656</v>
      </c>
      <c r="Y64" s="9">
        <f t="shared" si="113"/>
        <v>0.160405370850663</v>
      </c>
      <c r="Z64" s="9">
        <f t="shared" si="113"/>
        <v>0.16307545071988502</v>
      </c>
      <c r="AA64" s="9">
        <f t="shared" si="113"/>
        <v>0.17885986384833913</v>
      </c>
      <c r="AB64" s="9">
        <f t="shared" si="113"/>
        <v>0.15423451121584175</v>
      </c>
      <c r="AC64" s="9">
        <f t="shared" si="113"/>
        <v>0.15794496880257738</v>
      </c>
      <c r="AD64" s="9">
        <f t="shared" si="113"/>
        <v>9.8316183348924113E-2</v>
      </c>
      <c r="AE64" s="9">
        <f t="shared" si="113"/>
        <v>0.15700295245108506</v>
      </c>
      <c r="AF64" s="9">
        <f t="shared" si="113"/>
        <v>0.1408731081571335</v>
      </c>
      <c r="AG64" s="9">
        <f t="shared" si="113"/>
        <v>0.142302004692069</v>
      </c>
      <c r="AH64" s="9">
        <f t="shared" ref="AH64:AU64" si="114">+AH59/AH48</f>
        <v>9.9477042513024971E-2</v>
      </c>
      <c r="AI64" s="9">
        <f t="shared" si="114"/>
        <v>9.8169386601865014E-2</v>
      </c>
      <c r="AJ64" s="9">
        <f t="shared" si="114"/>
        <v>8.5405653886287833E-2</v>
      </c>
      <c r="AK64" s="9">
        <f t="shared" si="114"/>
        <v>9.2745507633023763E-2</v>
      </c>
      <c r="AL64" s="9">
        <f t="shared" si="114"/>
        <v>9.9912353573565871E-2</v>
      </c>
      <c r="AM64" s="9">
        <f t="shared" si="114"/>
        <v>0.10687018853235473</v>
      </c>
      <c r="AN64" s="9">
        <f t="shared" si="114"/>
        <v>0.1135797901698111</v>
      </c>
      <c r="AO64" s="9">
        <f t="shared" si="114"/>
        <v>0.11999846056051325</v>
      </c>
      <c r="AP64" s="9">
        <f t="shared" si="114"/>
        <v>0.12607975020343407</v>
      </c>
      <c r="AQ64" s="9">
        <f t="shared" si="114"/>
        <v>0.13177316099362535</v>
      </c>
      <c r="AR64" s="9">
        <f t="shared" si="114"/>
        <v>0.13702382657501899</v>
      </c>
      <c r="AS64" s="9">
        <f t="shared" si="114"/>
        <v>0.14177216837612575</v>
      </c>
      <c r="AT64" s="9">
        <f t="shared" si="114"/>
        <v>0.14595352550377369</v>
      </c>
      <c r="AU64" s="9">
        <f t="shared" si="114"/>
        <v>0.14949775653396197</v>
      </c>
      <c r="AV64" s="9">
        <f>+AV59/AV48</f>
        <v>0.15232881109272151</v>
      </c>
      <c r="AX64" s="9" t="s">
        <v>143</v>
      </c>
      <c r="AY64" s="9">
        <v>0.08</v>
      </c>
    </row>
    <row r="65" spans="1:51" s="9" customFormat="1" x14ac:dyDescent="0.2">
      <c r="A65" s="9" t="s">
        <v>25</v>
      </c>
      <c r="B65" s="9">
        <f t="shared" ref="B65:N65" si="115">+B58/B57</f>
        <v>0.15304482409667233</v>
      </c>
      <c r="C65" s="9">
        <f t="shared" si="115"/>
        <v>0.28865116834996718</v>
      </c>
      <c r="D65" s="9">
        <f t="shared" si="115"/>
        <v>0.1784006953498479</v>
      </c>
      <c r="E65" s="9">
        <f t="shared" si="115"/>
        <v>0.16770911516971065</v>
      </c>
      <c r="F65" s="9">
        <f t="shared" si="115"/>
        <v>0.18457154218304728</v>
      </c>
      <c r="G65" s="9">
        <f t="shared" si="115"/>
        <v>0.1587199771933577</v>
      </c>
      <c r="H65" s="9">
        <f t="shared" si="115"/>
        <v>0.19842564357137793</v>
      </c>
      <c r="I65" s="9">
        <f t="shared" si="115"/>
        <v>0.21254232505643342</v>
      </c>
      <c r="J65" s="9">
        <f t="shared" si="115"/>
        <v>0.18487298583634382</v>
      </c>
      <c r="K65" s="9">
        <f t="shared" si="115"/>
        <v>0.2048106953043668</v>
      </c>
      <c r="L65" s="9">
        <f t="shared" si="115"/>
        <v>0.21006810778797758</v>
      </c>
      <c r="M65" s="9">
        <f t="shared" si="115"/>
        <v>0.16963665818097662</v>
      </c>
      <c r="N65" s="9">
        <f t="shared" si="115"/>
        <v>0.20376432078559739</v>
      </c>
      <c r="S65" s="9">
        <f t="shared" ref="S65:AG65" si="116">+S58/S57</f>
        <v>0.12903225806451604</v>
      </c>
      <c r="T65" s="9">
        <f t="shared" si="116"/>
        <v>0.26383415213518319</v>
      </c>
      <c r="U65" s="9">
        <f t="shared" si="116"/>
        <v>0.2643041539544706</v>
      </c>
      <c r="V65" s="9">
        <f t="shared" si="116"/>
        <v>0.28115229082419646</v>
      </c>
      <c r="W65" s="9">
        <f t="shared" si="116"/>
        <v>-8.1629163531906135E-2</v>
      </c>
      <c r="X65" s="9">
        <f t="shared" si="116"/>
        <v>0.30495978552278813</v>
      </c>
      <c r="Y65" s="9">
        <f t="shared" si="116"/>
        <v>0.27117960877296976</v>
      </c>
      <c r="Z65" s="9">
        <f t="shared" si="116"/>
        <v>0.28413443716792308</v>
      </c>
      <c r="AA65" s="9">
        <f t="shared" si="116"/>
        <v>0.26350543528243242</v>
      </c>
      <c r="AB65" s="9">
        <f t="shared" si="116"/>
        <v>0.24868955188586292</v>
      </c>
      <c r="AC65" s="9">
        <f t="shared" si="116"/>
        <v>0.17230404270040514</v>
      </c>
      <c r="AD65" s="9">
        <f t="shared" si="116"/>
        <v>9.393001293154131E-2</v>
      </c>
      <c r="AE65" s="9">
        <f t="shared" si="116"/>
        <v>0.20223108127010764</v>
      </c>
      <c r="AF65" s="9">
        <f t="shared" si="116"/>
        <v>0.17271518837518429</v>
      </c>
      <c r="AG65" s="9">
        <f t="shared" si="116"/>
        <v>0.19966857392990037</v>
      </c>
      <c r="AH65" s="9">
        <f t="shared" ref="AH65:AV65" si="117">+AH58/AH57</f>
        <v>0.19966857392990037</v>
      </c>
      <c r="AI65" s="9">
        <f t="shared" si="117"/>
        <v>0.19966857392990037</v>
      </c>
      <c r="AJ65" s="9">
        <f t="shared" si="117"/>
        <v>0.19966857392990037</v>
      </c>
      <c r="AK65" s="9">
        <f t="shared" si="117"/>
        <v>0.19966857392990034</v>
      </c>
      <c r="AL65" s="9">
        <f t="shared" si="117"/>
        <v>0.19966857392990034</v>
      </c>
      <c r="AM65" s="9">
        <f t="shared" si="117"/>
        <v>0.19966857392990037</v>
      </c>
      <c r="AN65" s="9">
        <f t="shared" si="117"/>
        <v>0.19966857392990037</v>
      </c>
      <c r="AO65" s="9">
        <f t="shared" si="117"/>
        <v>0.19966857392990037</v>
      </c>
      <c r="AP65" s="9">
        <f t="shared" si="117"/>
        <v>0.19966857392990037</v>
      </c>
      <c r="AQ65" s="9">
        <f t="shared" si="117"/>
        <v>0.19966857392990039</v>
      </c>
      <c r="AR65" s="9">
        <f t="shared" si="117"/>
        <v>0.19966857392990039</v>
      </c>
      <c r="AS65" s="9">
        <f t="shared" si="117"/>
        <v>0.19966857392990037</v>
      </c>
      <c r="AT65" s="9">
        <f t="shared" si="117"/>
        <v>0.19966857392990037</v>
      </c>
      <c r="AU65" s="9">
        <f t="shared" si="117"/>
        <v>0.19966857392990037</v>
      </c>
      <c r="AV65" s="9">
        <f t="shared" si="117"/>
        <v>0.19966857392990037</v>
      </c>
      <c r="AX65" s="9" t="s">
        <v>144</v>
      </c>
      <c r="AY65" s="9">
        <v>0.2</v>
      </c>
    </row>
    <row r="66" spans="1:51" s="9" customFormat="1" x14ac:dyDescent="0.2">
      <c r="AX66" s="9" t="s">
        <v>145</v>
      </c>
      <c r="AY66" s="3">
        <f>NPV(AY64,AH59:ES59)</f>
        <v>118613.76664538396</v>
      </c>
    </row>
    <row r="67" spans="1:51" s="10" customFormat="1" x14ac:dyDescent="0.2">
      <c r="A67" s="10" t="s">
        <v>26</v>
      </c>
      <c r="F67" s="10">
        <f t="shared" ref="F67:N67" si="118">+F48/B48-1</f>
        <v>8.7187354098579473E-2</v>
      </c>
      <c r="G67" s="10">
        <f t="shared" si="118"/>
        <v>3.2835381197294566E-2</v>
      </c>
      <c r="H67" s="10">
        <f t="shared" si="118"/>
        <v>8.241826493093507E-2</v>
      </c>
      <c r="I67" s="10">
        <f t="shared" si="118"/>
        <v>0.14199277070564187</v>
      </c>
      <c r="J67" s="10">
        <f t="shared" si="118"/>
        <v>0.12493098244193312</v>
      </c>
      <c r="K67" s="10">
        <f t="shared" si="118"/>
        <v>0.11402153502412604</v>
      </c>
      <c r="L67" s="10">
        <f t="shared" si="118"/>
        <v>8.1639679133338694E-2</v>
      </c>
      <c r="M67" s="10">
        <f t="shared" si="118"/>
        <v>-1.7982063808802851E-2</v>
      </c>
      <c r="N67" s="10">
        <f t="shared" si="118"/>
        <v>-5.9334882148270873E-3</v>
      </c>
      <c r="S67" s="10" t="e">
        <f>+S48/#REF!-1</f>
        <v>#REF!</v>
      </c>
      <c r="T67" s="10">
        <f t="shared" ref="T67:AV67" si="119">+T48/S48-1</f>
        <v>9.5431015079901149E-2</v>
      </c>
      <c r="U67" s="10">
        <f t="shared" si="119"/>
        <v>9.2739600650017628E-2</v>
      </c>
      <c r="V67" s="10">
        <f t="shared" si="119"/>
        <v>0.13667054117807931</v>
      </c>
      <c r="W67" s="10">
        <f t="shared" si="119"/>
        <v>0.11784653558404456</v>
      </c>
      <c r="X67" s="10">
        <f t="shared" si="119"/>
        <v>0.10634433771894414</v>
      </c>
      <c r="Y67" s="10">
        <f t="shared" si="119"/>
        <v>0.16506158878391042</v>
      </c>
      <c r="Z67" s="10">
        <f t="shared" si="119"/>
        <v>0.1123641240534996</v>
      </c>
      <c r="AA67" s="10">
        <f t="shared" si="119"/>
        <v>5.0239492585347101E-2</v>
      </c>
      <c r="AB67" s="10">
        <f t="shared" si="119"/>
        <v>0.10419979630853904</v>
      </c>
      <c r="AC67" s="10">
        <f t="shared" si="119"/>
        <v>7.2376059386314529E-2</v>
      </c>
      <c r="AD67" s="10">
        <f t="shared" si="119"/>
        <v>-0.11281621813298348</v>
      </c>
      <c r="AE67" s="10">
        <f t="shared" si="119"/>
        <v>0.23567480227910553</v>
      </c>
      <c r="AF67" s="10">
        <f t="shared" si="119"/>
        <v>0.10976029400631782</v>
      </c>
      <c r="AG67" s="10">
        <f t="shared" si="119"/>
        <v>0.11551210376337573</v>
      </c>
      <c r="AH67" s="10">
        <f t="shared" si="119"/>
        <v>2.4418578147410885E-2</v>
      </c>
      <c r="AI67" s="10">
        <f t="shared" si="119"/>
        <v>8.0000000000000071E-2</v>
      </c>
      <c r="AJ67" s="10">
        <f t="shared" si="119"/>
        <v>8.0000000000000071E-2</v>
      </c>
      <c r="AK67" s="10">
        <f t="shared" si="119"/>
        <v>8.0000000000000071E-2</v>
      </c>
      <c r="AL67" s="10">
        <f t="shared" si="119"/>
        <v>8.0000000000000071E-2</v>
      </c>
      <c r="AM67" s="10">
        <f t="shared" si="119"/>
        <v>8.0000000000000071E-2</v>
      </c>
      <c r="AN67" s="10">
        <f t="shared" si="119"/>
        <v>8.0000000000000071E-2</v>
      </c>
      <c r="AO67" s="10">
        <f t="shared" si="119"/>
        <v>8.0000000000000071E-2</v>
      </c>
      <c r="AP67" s="10">
        <f t="shared" si="119"/>
        <v>8.0000000000000071E-2</v>
      </c>
      <c r="AQ67" s="10">
        <f t="shared" si="119"/>
        <v>8.0000000000000071E-2</v>
      </c>
      <c r="AR67" s="10">
        <f t="shared" si="119"/>
        <v>8.0000000000000071E-2</v>
      </c>
      <c r="AS67" s="10">
        <f t="shared" si="119"/>
        <v>8.0000000000000071E-2</v>
      </c>
      <c r="AT67" s="10">
        <f t="shared" si="119"/>
        <v>8.0000000000000071E-2</v>
      </c>
      <c r="AU67" s="10">
        <f t="shared" si="119"/>
        <v>8.0000000000000071E-2</v>
      </c>
      <c r="AV67" s="10">
        <f t="shared" si="119"/>
        <v>8.0000000000000071E-2</v>
      </c>
      <c r="AX67" s="9" t="s">
        <v>38</v>
      </c>
      <c r="AY67" s="3">
        <f>+AG70</f>
        <v>-11452.2</v>
      </c>
    </row>
    <row r="68" spans="1:51" s="9" customFormat="1" x14ac:dyDescent="0.2">
      <c r="A68" s="9" t="s">
        <v>27</v>
      </c>
      <c r="C68" s="9">
        <f t="shared" ref="C68:N68" si="120">+C48/B48-1</f>
        <v>8.6733809110918436E-2</v>
      </c>
      <c r="D68" s="9">
        <f t="shared" si="120"/>
        <v>-1.1820737231026057E-2</v>
      </c>
      <c r="E68" s="9">
        <f t="shared" si="120"/>
        <v>-5.1525390042730823E-2</v>
      </c>
      <c r="F68" s="9">
        <f t="shared" si="120"/>
        <v>6.738173817381754E-2</v>
      </c>
      <c r="G68" s="9">
        <f t="shared" si="120"/>
        <v>3.2404510374105744E-2</v>
      </c>
      <c r="H68" s="9">
        <f t="shared" si="120"/>
        <v>3.5618359439994363E-2</v>
      </c>
      <c r="I68" s="9">
        <f t="shared" si="120"/>
        <v>6.770791494048467E-4</v>
      </c>
      <c r="J68" s="9">
        <f t="shared" si="120"/>
        <v>5.1434665932704959E-2</v>
      </c>
      <c r="K68" s="9">
        <f t="shared" si="120"/>
        <v>2.2392373722500469E-2</v>
      </c>
      <c r="L68" s="9">
        <f t="shared" si="120"/>
        <v>5.5154903132199617E-3</v>
      </c>
      <c r="M68" s="9">
        <f t="shared" si="120"/>
        <v>-9.1487804101726189E-2</v>
      </c>
      <c r="N68" s="9">
        <f t="shared" si="120"/>
        <v>6.4334929347191316E-2</v>
      </c>
      <c r="AX68" s="9" t="s">
        <v>146</v>
      </c>
      <c r="AY68" s="3">
        <f>+AY66-AY67</f>
        <v>130065.96664538396</v>
      </c>
    </row>
    <row r="69" spans="1:51" x14ac:dyDescent="0.2">
      <c r="AX69" s="3" t="s">
        <v>147</v>
      </c>
      <c r="AY69" s="4">
        <f>+AY68/Main!K4</f>
        <v>114.82825694833933</v>
      </c>
    </row>
    <row r="70" spans="1:51" x14ac:dyDescent="0.2">
      <c r="A70" s="3" t="s">
        <v>38</v>
      </c>
      <c r="L70" s="3">
        <f>+L71-L86</f>
        <v>-10990.899999999998</v>
      </c>
      <c r="M70" s="3">
        <f>+M71-M86</f>
        <v>-11742.400000000001</v>
      </c>
      <c r="N70" s="3">
        <f>+N71-N86</f>
        <v>-11452.2</v>
      </c>
      <c r="AG70" s="3">
        <f>+N70</f>
        <v>-11452.2</v>
      </c>
      <c r="AH70" s="3">
        <f>+AG70+AH59</f>
        <v>-7786.0658134008754</v>
      </c>
      <c r="AI70" s="3">
        <f>+AH70+AI59</f>
        <v>-3878.6887339952918</v>
      </c>
      <c r="AJ70" s="3">
        <f t="shared" ref="AJ70:AV70" si="121">+AI70+AJ59</f>
        <v>-207.39084288842514</v>
      </c>
      <c r="AK70" s="3">
        <f t="shared" si="121"/>
        <v>4098.3673917946508</v>
      </c>
      <c r="AL70" s="3">
        <f t="shared" si="121"/>
        <v>9107.9287833395028</v>
      </c>
      <c r="AM70" s="3">
        <f t="shared" si="121"/>
        <v>14895.026888113654</v>
      </c>
      <c r="AN70" s="3">
        <f t="shared" si="121"/>
        <v>21537.489012076629</v>
      </c>
      <c r="AO70" s="3">
        <f t="shared" si="121"/>
        <v>29116.760344208829</v>
      </c>
      <c r="AP70" s="3">
        <f t="shared" si="121"/>
        <v>37717.204402915551</v>
      </c>
      <c r="AQ70" s="3">
        <f t="shared" si="121"/>
        <v>47425.125885587258</v>
      </c>
      <c r="AR70" s="3">
        <f t="shared" si="121"/>
        <v>58327.451236093562</v>
      </c>
      <c r="AS70" s="3">
        <f t="shared" si="121"/>
        <v>70509.989495540169</v>
      </c>
      <c r="AT70" s="3">
        <f t="shared" si="121"/>
        <v>84055.180933539566</v>
      </c>
      <c r="AU70" s="3">
        <f t="shared" si="121"/>
        <v>99039.223167529388</v>
      </c>
      <c r="AV70" s="3">
        <f t="shared" si="121"/>
        <v>115528.44349516777</v>
      </c>
      <c r="AX70" s="3" t="s">
        <v>148</v>
      </c>
      <c r="AY70" s="4">
        <v>97.31</v>
      </c>
    </row>
    <row r="71" spans="1:51" x14ac:dyDescent="0.2">
      <c r="A71" s="3" t="s">
        <v>6</v>
      </c>
      <c r="L71" s="3">
        <f>3000.4+383+239.8+401</f>
        <v>4024.2000000000003</v>
      </c>
      <c r="M71" s="3">
        <f>2764.1+362.5+280.4+440.2</f>
        <v>3847.2</v>
      </c>
      <c r="N71" s="3">
        <f>3179.1+212.3+274.8+456.1</f>
        <v>4122.3</v>
      </c>
      <c r="AX71" s="3" t="s">
        <v>149</v>
      </c>
      <c r="AY71" s="9">
        <f>+AY69/AY70-1</f>
        <v>0.18002524867268854</v>
      </c>
    </row>
    <row r="72" spans="1:51" x14ac:dyDescent="0.2">
      <c r="A72" s="3" t="s">
        <v>39</v>
      </c>
      <c r="L72" s="3">
        <v>1165.0999999999999</v>
      </c>
      <c r="M72" s="3">
        <v>1110.3</v>
      </c>
      <c r="N72" s="3">
        <v>1146</v>
      </c>
    </row>
    <row r="73" spans="1:51" x14ac:dyDescent="0.2">
      <c r="A73" s="3" t="s">
        <v>40</v>
      </c>
      <c r="L73" s="3">
        <v>1646.3</v>
      </c>
      <c r="M73" s="3">
        <v>1744</v>
      </c>
      <c r="N73" s="3">
        <v>1854.7</v>
      </c>
    </row>
    <row r="74" spans="1:51" x14ac:dyDescent="0.2">
      <c r="A74" s="3" t="s">
        <v>41</v>
      </c>
      <c r="L74" s="3">
        <v>374.7</v>
      </c>
      <c r="M74" s="3">
        <v>484.1</v>
      </c>
      <c r="N74" s="3">
        <v>415.8</v>
      </c>
    </row>
    <row r="75" spans="1:51" x14ac:dyDescent="0.2">
      <c r="A75" s="3" t="s">
        <v>42</v>
      </c>
      <c r="L75" s="3">
        <v>7611.7</v>
      </c>
      <c r="M75" s="3">
        <v>7817.4</v>
      </c>
      <c r="N75" s="3">
        <v>8080.3</v>
      </c>
    </row>
    <row r="76" spans="1:51" x14ac:dyDescent="0.2">
      <c r="A76" s="3" t="s">
        <v>43</v>
      </c>
      <c r="L76" s="3">
        <v>8638.6</v>
      </c>
      <c r="M76" s="3">
        <v>8686.5</v>
      </c>
      <c r="N76" s="3">
        <v>8808.1</v>
      </c>
    </row>
    <row r="77" spans="1:51" x14ac:dyDescent="0.2">
      <c r="A77" s="3" t="s">
        <v>44</v>
      </c>
      <c r="L77" s="3">
        <v>1769.4</v>
      </c>
      <c r="M77" s="3">
        <v>1746.5</v>
      </c>
      <c r="N77" s="3">
        <v>1701.6</v>
      </c>
    </row>
    <row r="78" spans="1:51" x14ac:dyDescent="0.2">
      <c r="A78" s="3" t="s">
        <v>12</v>
      </c>
      <c r="L78" s="3">
        <v>531.1</v>
      </c>
      <c r="M78" s="3">
        <v>587.20000000000005</v>
      </c>
      <c r="N78" s="3">
        <v>693.7</v>
      </c>
    </row>
    <row r="79" spans="1:51" x14ac:dyDescent="0.2">
      <c r="A79" s="3" t="s">
        <v>45</v>
      </c>
      <c r="L79" s="3">
        <f>115.8+3302.8</f>
        <v>3418.6000000000004</v>
      </c>
      <c r="M79" s="3">
        <f>110.7+3229.3</f>
        <v>3340</v>
      </c>
      <c r="N79" s="3">
        <f>105.7+3183.6</f>
        <v>3289.2999999999997</v>
      </c>
    </row>
    <row r="80" spans="1:51" s="11" customFormat="1" x14ac:dyDescent="0.2">
      <c r="A80" s="11" t="s">
        <v>46</v>
      </c>
      <c r="L80" s="11">
        <f>+SUM(L71:L79)</f>
        <v>29179.699999999997</v>
      </c>
      <c r="M80" s="11">
        <f>+SUM(M71:M79)</f>
        <v>29363.200000000001</v>
      </c>
      <c r="N80" s="11">
        <f>+SUM(N71:N79)</f>
        <v>30111.8</v>
      </c>
    </row>
    <row r="81" spans="1:14" x14ac:dyDescent="0.2">
      <c r="A81" s="3" t="s">
        <v>47</v>
      </c>
      <c r="L81" s="3">
        <v>1460.7</v>
      </c>
      <c r="M81" s="3">
        <v>1487.4</v>
      </c>
      <c r="N81" s="3">
        <v>1586.3</v>
      </c>
    </row>
    <row r="82" spans="1:14" x14ac:dyDescent="0.2">
      <c r="A82" s="3" t="s">
        <v>48</v>
      </c>
      <c r="L82" s="3">
        <v>2326.9</v>
      </c>
      <c r="M82" s="3">
        <v>2016</v>
      </c>
      <c r="N82" s="3">
        <v>2081.5</v>
      </c>
    </row>
    <row r="83" spans="1:14" x14ac:dyDescent="0.2">
      <c r="A83" s="3" t="s">
        <v>49</v>
      </c>
      <c r="L83" s="3">
        <v>648.5</v>
      </c>
      <c r="M83" s="3">
        <v>704.8</v>
      </c>
      <c r="N83" s="3">
        <v>708.4</v>
      </c>
    </row>
    <row r="84" spans="1:14" x14ac:dyDescent="0.2">
      <c r="A84" s="3" t="s">
        <v>43</v>
      </c>
      <c r="L84" s="3">
        <v>1309.4000000000001</v>
      </c>
      <c r="M84" s="3">
        <v>1406.6</v>
      </c>
      <c r="N84" s="3">
        <v>1419.2</v>
      </c>
    </row>
    <row r="85" spans="1:14" x14ac:dyDescent="0.2">
      <c r="A85" s="3" t="s">
        <v>50</v>
      </c>
      <c r="L85" s="3">
        <v>2199.8000000000002</v>
      </c>
      <c r="M85" s="3">
        <v>1872</v>
      </c>
      <c r="N85" s="3">
        <v>1831</v>
      </c>
    </row>
    <row r="86" spans="1:14" x14ac:dyDescent="0.2">
      <c r="A86" s="3" t="s">
        <v>7</v>
      </c>
      <c r="L86" s="3">
        <f>349.5+1100.8+13564.8</f>
        <v>15015.099999999999</v>
      </c>
      <c r="M86" s="3">
        <f>42.1+15547.5</f>
        <v>15589.6</v>
      </c>
      <c r="N86" s="3">
        <f>23.1+15551.4</f>
        <v>15574.5</v>
      </c>
    </row>
    <row r="87" spans="1:14" x14ac:dyDescent="0.2">
      <c r="A87" s="3" t="s">
        <v>43</v>
      </c>
      <c r="L87" s="3">
        <v>8139</v>
      </c>
      <c r="M87" s="3">
        <v>8180.3</v>
      </c>
      <c r="N87" s="3">
        <v>8298.1</v>
      </c>
    </row>
    <row r="88" spans="1:14" x14ac:dyDescent="0.2">
      <c r="A88" s="3" t="s">
        <v>50</v>
      </c>
      <c r="L88" s="3">
        <v>6129</v>
      </c>
      <c r="M88" s="3">
        <v>6058.4</v>
      </c>
      <c r="N88" s="3">
        <v>6011</v>
      </c>
    </row>
    <row r="89" spans="1:14" x14ac:dyDescent="0.2">
      <c r="A89" s="3" t="s">
        <v>12</v>
      </c>
      <c r="L89" s="3">
        <v>560.20000000000005</v>
      </c>
      <c r="M89" s="3">
        <v>490.3</v>
      </c>
      <c r="N89" s="3">
        <v>539.20000000000005</v>
      </c>
    </row>
    <row r="90" spans="1:14" s="11" customFormat="1" x14ac:dyDescent="0.2">
      <c r="A90" s="11" t="s">
        <v>51</v>
      </c>
      <c r="L90" s="11">
        <f>+SUM(L81:L89)</f>
        <v>37788.599999999991</v>
      </c>
      <c r="M90" s="11">
        <f>+SUM(M81:M89)</f>
        <v>37805.4</v>
      </c>
      <c r="N90" s="11">
        <f>+SUM(N81:N89)</f>
        <v>38049.199999999997</v>
      </c>
    </row>
    <row r="91" spans="1:14" x14ac:dyDescent="0.2">
      <c r="A91" s="3" t="s">
        <v>52</v>
      </c>
      <c r="L91" s="3">
        <f>+L80-L90</f>
        <v>-8608.8999999999942</v>
      </c>
      <c r="M91" s="3">
        <f>+M80-M90</f>
        <v>-8442.2000000000007</v>
      </c>
      <c r="N91" s="3">
        <f>+N80-N90</f>
        <v>-7937.3999999999978</v>
      </c>
    </row>
    <row r="92" spans="1:14" x14ac:dyDescent="0.2">
      <c r="A92" s="3" t="s">
        <v>53</v>
      </c>
      <c r="L92" s="3">
        <f>+L91+L90</f>
        <v>29179.699999999997</v>
      </c>
      <c r="M92" s="3">
        <f>+M91+M90</f>
        <v>29363.200000000001</v>
      </c>
      <c r="N92" s="3">
        <f>+N91+N90</f>
        <v>30111.8</v>
      </c>
    </row>
    <row r="94" spans="1:14" x14ac:dyDescent="0.2">
      <c r="A94" s="3" t="s">
        <v>96</v>
      </c>
      <c r="L94" s="3">
        <f>+SUM(I59:L59)</f>
        <v>5322.9000000000005</v>
      </c>
      <c r="M94" s="3">
        <f>+SUM(J59:M59)</f>
        <v>5283</v>
      </c>
      <c r="N94" s="3">
        <f>+SUM(K59:N59)</f>
        <v>5223.7000000000007</v>
      </c>
    </row>
    <row r="95" spans="1:14" s="9" customFormat="1" x14ac:dyDescent="0.2">
      <c r="A95" s="9" t="s">
        <v>97</v>
      </c>
      <c r="L95" s="9">
        <f>+L94/(L72+L73+L74+L75+L76+L77+L78)</f>
        <v>0.24487852453661746</v>
      </c>
      <c r="M95" s="9">
        <f>+M94/(M72+M73+M74+M75+M76+M77+M78)</f>
        <v>0.23823051948051949</v>
      </c>
      <c r="N95" s="9">
        <f>+N94/(N72+N73+N74+N75+N76+N77+N78)</f>
        <v>0.23011691526946901</v>
      </c>
    </row>
    <row r="97" spans="1:33" x14ac:dyDescent="0.2">
      <c r="A97" s="3" t="s">
        <v>54</v>
      </c>
      <c r="H97" s="3">
        <f t="shared" ref="H97:N97" si="122">+H59</f>
        <v>1130.3</v>
      </c>
      <c r="I97" s="3">
        <f t="shared" si="122"/>
        <v>1116.3</v>
      </c>
      <c r="J97" s="3">
        <f t="shared" si="122"/>
        <v>1421.5</v>
      </c>
      <c r="K97" s="3">
        <f t="shared" si="122"/>
        <v>1451.3000000000009</v>
      </c>
      <c r="L97" s="3">
        <f t="shared" si="122"/>
        <v>1333.7999999999993</v>
      </c>
      <c r="M97" s="3">
        <f t="shared" si="122"/>
        <v>1076.4000000000001</v>
      </c>
      <c r="N97" s="3">
        <f t="shared" si="122"/>
        <v>1362.1999999999998</v>
      </c>
      <c r="AC97" s="3">
        <f>+AC59</f>
        <v>4186.9000000000033</v>
      </c>
      <c r="AD97" s="3">
        <f>+AD59</f>
        <v>2312.1999999999971</v>
      </c>
      <c r="AE97" s="3">
        <f>+AE59</f>
        <v>4562.6000000000022</v>
      </c>
      <c r="AF97" s="3">
        <f>+AF59</f>
        <v>4543.2000000000025</v>
      </c>
      <c r="AG97" s="3">
        <f>+AG59</f>
        <v>5119.3999999999969</v>
      </c>
    </row>
    <row r="98" spans="1:33" x14ac:dyDescent="0.2">
      <c r="A98" s="3" t="s">
        <v>55</v>
      </c>
      <c r="H98" s="3">
        <v>855.2</v>
      </c>
      <c r="I98" s="3">
        <f>1763.6-H98</f>
        <v>908.39999999999986</v>
      </c>
      <c r="J98" s="3">
        <f>2905.4-SUM(H98:I98)</f>
        <v>1141.8000000000002</v>
      </c>
      <c r="K98" s="3">
        <f>4124.7-SUM(H98:J98)</f>
        <v>1219.2999999999997</v>
      </c>
      <c r="L98" s="3">
        <v>1024.4000000000001</v>
      </c>
      <c r="M98" s="3">
        <f>1796.9-L98</f>
        <v>772.5</v>
      </c>
      <c r="N98" s="3">
        <f>2852.7-SUM(L98:M98)</f>
        <v>1055.7999999999997</v>
      </c>
      <c r="AC98" s="3">
        <v>3594.6</v>
      </c>
      <c r="AD98" s="3">
        <v>924.7</v>
      </c>
      <c r="AE98" s="3">
        <v>4200.3</v>
      </c>
      <c r="AF98" s="3">
        <v>3283.4</v>
      </c>
      <c r="AG98" s="3">
        <v>4124.7</v>
      </c>
    </row>
    <row r="99" spans="1:33" x14ac:dyDescent="0.2">
      <c r="A99" s="3" t="s">
        <v>56</v>
      </c>
      <c r="H99" s="3">
        <v>342.5</v>
      </c>
      <c r="I99" s="3">
        <f>709.3-H99</f>
        <v>366.79999999999995</v>
      </c>
      <c r="J99" s="3">
        <f>1073.8-SUM(H99:I99)</f>
        <v>364.5</v>
      </c>
      <c r="K99" s="3">
        <f>1450.3-SUM(H99:J99)</f>
        <v>376.5</v>
      </c>
      <c r="L99" s="3">
        <v>384.4</v>
      </c>
      <c r="M99" s="3">
        <f>783.6-L99</f>
        <v>399.20000000000005</v>
      </c>
      <c r="N99" s="3">
        <f>1191-SUM(L99:M99)</f>
        <v>407.4</v>
      </c>
      <c r="AC99" s="3">
        <v>1449.3</v>
      </c>
      <c r="AD99" s="3">
        <v>1503.2</v>
      </c>
      <c r="AE99" s="3">
        <v>1524.1</v>
      </c>
      <c r="AF99" s="3">
        <v>1529.4</v>
      </c>
      <c r="AG99" s="3">
        <v>1450.3</v>
      </c>
    </row>
    <row r="100" spans="1:33" x14ac:dyDescent="0.2">
      <c r="A100" s="3" t="s">
        <v>44</v>
      </c>
      <c r="H100" s="3">
        <v>15.8</v>
      </c>
      <c r="I100" s="3">
        <f>2.6-H100</f>
        <v>-13.200000000000001</v>
      </c>
      <c r="J100" s="3">
        <f>-30.2-SUM(H100:I100)</f>
        <v>-32.799999999999997</v>
      </c>
      <c r="K100" s="3">
        <f>-59.4-SUM(H100:J100)</f>
        <v>-29.200000000000003</v>
      </c>
      <c r="L100" s="3">
        <v>26.1</v>
      </c>
      <c r="M100" s="3">
        <f>4-L100</f>
        <v>-22.1</v>
      </c>
      <c r="N100" s="3">
        <f>16.6-SUM(L100:M100)</f>
        <v>12.600000000000001</v>
      </c>
      <c r="AC100" s="3">
        <v>-1495.4</v>
      </c>
      <c r="AD100" s="3">
        <v>-25.8</v>
      </c>
      <c r="AE100" s="3">
        <v>-146.19999999999999</v>
      </c>
      <c r="AF100" s="3">
        <v>-37.799999999999997</v>
      </c>
      <c r="AG100" s="3">
        <v>-59.4</v>
      </c>
    </row>
    <row r="101" spans="1:33" x14ac:dyDescent="0.2">
      <c r="A101" s="3" t="s">
        <v>57</v>
      </c>
      <c r="H101" s="3">
        <f>-56.9+45.7</f>
        <v>-11.199999999999996</v>
      </c>
      <c r="I101" s="3">
        <f>-109.9+88-H101</f>
        <v>-10.70000000000001</v>
      </c>
      <c r="J101" s="3">
        <f>-182.7+146.6-SUM(H101:I101)</f>
        <v>-14.199999999999989</v>
      </c>
      <c r="K101" s="3">
        <f>-301.8+222.8-SUM(H101:J101)</f>
        <v>-42.900000000000006</v>
      </c>
      <c r="L101" s="3">
        <v>-59</v>
      </c>
      <c r="M101" s="3">
        <f>-132.3+154.5-L101</f>
        <v>81.199999999999989</v>
      </c>
      <c r="N101" s="3">
        <f>-201.5+220.5-SUM(L101:M101)</f>
        <v>-3.1999999999999886</v>
      </c>
      <c r="AC101" s="3">
        <f>-250.6+216.8</f>
        <v>-33.799999999999983</v>
      </c>
      <c r="AD101" s="3">
        <f>-280.7+227.7</f>
        <v>-53</v>
      </c>
      <c r="AE101" s="3">
        <f>-347.3+336</f>
        <v>-11.300000000000011</v>
      </c>
      <c r="AF101" s="3">
        <f>-268.7+231.2</f>
        <v>-37.5</v>
      </c>
      <c r="AG101" s="3">
        <f>-301.8+222.8</f>
        <v>-79</v>
      </c>
    </row>
    <row r="102" spans="1:33" x14ac:dyDescent="0.2">
      <c r="A102" s="3" t="s">
        <v>58</v>
      </c>
      <c r="H102" s="3">
        <v>0</v>
      </c>
      <c r="I102" s="3">
        <f>-91.3-H102</f>
        <v>-91.3</v>
      </c>
      <c r="J102" s="3">
        <f>-91.3-SUM(H102:I102)</f>
        <v>0</v>
      </c>
      <c r="K102" s="3">
        <f>-91.3-SUM(H102:J102)</f>
        <v>0</v>
      </c>
      <c r="L102" s="3">
        <v>105.2</v>
      </c>
      <c r="M102" s="3">
        <f>0-L102</f>
        <v>-105.2</v>
      </c>
      <c r="N102" s="3">
        <f>0-SUM(L102:M102)</f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-91.3</v>
      </c>
    </row>
    <row r="103" spans="1:33" x14ac:dyDescent="0.2">
      <c r="A103" s="3" t="s">
        <v>104</v>
      </c>
      <c r="AC103" s="3">
        <v>-622.79999999999995</v>
      </c>
      <c r="AD103" s="3">
        <v>0</v>
      </c>
      <c r="AE103" s="3">
        <v>-864.5</v>
      </c>
      <c r="AF103" s="3">
        <v>0</v>
      </c>
      <c r="AG103" s="3">
        <v>0</v>
      </c>
    </row>
    <row r="104" spans="1:33" x14ac:dyDescent="0.2">
      <c r="A104" s="3" t="s">
        <v>59</v>
      </c>
      <c r="H104" s="3">
        <v>85.2</v>
      </c>
      <c r="I104" s="3">
        <f>159.3-H104</f>
        <v>74.100000000000009</v>
      </c>
      <c r="J104" s="3">
        <f>228.5-SUM(H104:I104)</f>
        <v>69.199999999999989</v>
      </c>
      <c r="K104" s="3">
        <f>302.7-SUM(H104:J104)</f>
        <v>74.199999999999989</v>
      </c>
      <c r="L104" s="3">
        <v>94.8</v>
      </c>
      <c r="M104" s="3">
        <f>173-L104</f>
        <v>78.2</v>
      </c>
      <c r="N104" s="3">
        <f>236.6-SUM(L104:M104)</f>
        <v>63.599999999999994</v>
      </c>
      <c r="AC104" s="3">
        <v>308</v>
      </c>
      <c r="AD104" s="3">
        <v>248.6</v>
      </c>
      <c r="AE104" s="3">
        <v>319.10000000000002</v>
      </c>
      <c r="AF104" s="3">
        <v>271.5</v>
      </c>
      <c r="AG104" s="3">
        <v>302.7</v>
      </c>
    </row>
    <row r="105" spans="1:33" x14ac:dyDescent="0.2">
      <c r="A105" s="3" t="s">
        <v>105</v>
      </c>
      <c r="AC105" s="3">
        <v>10.5</v>
      </c>
      <c r="AD105" s="3">
        <v>0</v>
      </c>
      <c r="AE105" s="3">
        <v>0</v>
      </c>
      <c r="AF105" s="3">
        <v>0</v>
      </c>
      <c r="AG105" s="3">
        <v>0</v>
      </c>
    </row>
    <row r="106" spans="1:33" x14ac:dyDescent="0.2">
      <c r="A106" s="3" t="s">
        <v>43</v>
      </c>
      <c r="H106" s="3">
        <v>263.7</v>
      </c>
      <c r="I106" s="3">
        <f>584.7-H106</f>
        <v>321.00000000000006</v>
      </c>
      <c r="J106" s="3">
        <f>998.4-SUM(H106:I106)</f>
        <v>413.69999999999993</v>
      </c>
      <c r="K106" s="3">
        <f>1365.9-SUM(H106:J106)</f>
        <v>367.50000000000011</v>
      </c>
      <c r="L106" s="3">
        <v>278</v>
      </c>
      <c r="M106" s="3">
        <f>689.5-L106</f>
        <v>411.5</v>
      </c>
      <c r="N106" s="3">
        <f>1082.6-SUM(L106:M106)</f>
        <v>393.09999999999991</v>
      </c>
      <c r="AC106" s="3">
        <v>0</v>
      </c>
      <c r="AD106" s="3">
        <v>1197.5999999999999</v>
      </c>
      <c r="AE106" s="3">
        <v>1248.5999999999999</v>
      </c>
      <c r="AF106" s="3">
        <v>1497.7</v>
      </c>
      <c r="AG106" s="3">
        <v>1365.9</v>
      </c>
    </row>
    <row r="107" spans="1:33" x14ac:dyDescent="0.2">
      <c r="A107" s="3" t="s">
        <v>88</v>
      </c>
      <c r="H107" s="3">
        <v>21.1</v>
      </c>
      <c r="I107" s="3">
        <f>75.6-H107</f>
        <v>54.499999999999993</v>
      </c>
      <c r="J107" s="3">
        <f>79.1-SUM(H107:I107)</f>
        <v>3.5</v>
      </c>
      <c r="K107" s="3">
        <f>101.4-SUM(H107:J107)</f>
        <v>22.300000000000011</v>
      </c>
      <c r="L107" s="3">
        <v>28.3</v>
      </c>
      <c r="M107" s="3">
        <f>42.5-L107</f>
        <v>14.2</v>
      </c>
      <c r="N107" s="3">
        <f>62.9-SUM(L107:M107)</f>
        <v>20.399999999999999</v>
      </c>
      <c r="AC107" s="3">
        <v>142.6</v>
      </c>
      <c r="AD107" s="3">
        <v>454.4</v>
      </c>
      <c r="AE107" s="3">
        <v>226.2</v>
      </c>
      <c r="AF107" s="3">
        <v>91.4</v>
      </c>
      <c r="AG107" s="3">
        <v>101.4</v>
      </c>
    </row>
    <row r="108" spans="1:33" x14ac:dyDescent="0.2">
      <c r="A108" s="3" t="s">
        <v>12</v>
      </c>
      <c r="H108" s="3">
        <v>6.7</v>
      </c>
      <c r="I108" s="3">
        <f>22.6-H108</f>
        <v>15.900000000000002</v>
      </c>
      <c r="J108" s="3">
        <f>22.8-SUM(H108:I108)</f>
        <v>0.19999999999999929</v>
      </c>
      <c r="K108" s="3">
        <f>26.8-SUM(H108:J108)</f>
        <v>4</v>
      </c>
      <c r="L108" s="3">
        <v>17.8</v>
      </c>
      <c r="M108" s="3">
        <f>16.3-L108</f>
        <v>-1.5</v>
      </c>
      <c r="N108" s="3">
        <f>20.2-SUM(L108:M108)</f>
        <v>3.8999999999999986</v>
      </c>
      <c r="AC108" s="3">
        <v>45.3</v>
      </c>
      <c r="AD108" s="3">
        <v>24.5</v>
      </c>
      <c r="AE108" s="3">
        <v>-6</v>
      </c>
      <c r="AF108" s="3">
        <v>-67.8</v>
      </c>
      <c r="AG108" s="3">
        <v>26.8</v>
      </c>
    </row>
    <row r="109" spans="1:33" x14ac:dyDescent="0.2">
      <c r="A109" s="3" t="s">
        <v>39</v>
      </c>
      <c r="H109" s="3">
        <v>42</v>
      </c>
      <c r="I109" s="3">
        <f>26.2-H109</f>
        <v>-15.8</v>
      </c>
      <c r="J109" s="3">
        <f>44.3-SUM(H109:I109)</f>
        <v>18.099999999999998</v>
      </c>
      <c r="K109" s="3">
        <f>-4.1-SUM(H109:J109)</f>
        <v>-48.4</v>
      </c>
      <c r="L109" s="3">
        <v>42.3</v>
      </c>
      <c r="M109" s="3">
        <f>86.4-L109</f>
        <v>44.100000000000009</v>
      </c>
      <c r="N109" s="3">
        <f>44.7-SUM(L109:M109)</f>
        <v>-41.7</v>
      </c>
      <c r="AC109" s="3">
        <v>-197.7</v>
      </c>
      <c r="AD109" s="3">
        <v>-2.7</v>
      </c>
      <c r="AE109" s="3">
        <v>-43</v>
      </c>
      <c r="AF109" s="3">
        <v>-326.10000000000002</v>
      </c>
      <c r="AG109" s="3">
        <v>-4.0999999999999996</v>
      </c>
    </row>
    <row r="110" spans="1:33" x14ac:dyDescent="0.2">
      <c r="A110" s="3" t="s">
        <v>60</v>
      </c>
      <c r="H110" s="3">
        <v>108.5</v>
      </c>
      <c r="I110" s="3">
        <f>194.6-H110</f>
        <v>86.1</v>
      </c>
      <c r="J110" s="3">
        <f>194.5-SUM(H110:I110)</f>
        <v>-9.9999999999994316E-2</v>
      </c>
      <c r="K110" s="3">
        <f>366.4-SUM(H110:J110)</f>
        <v>171.89999999999998</v>
      </c>
      <c r="L110" s="3">
        <v>174.3</v>
      </c>
      <c r="M110" s="3">
        <f>64.5-L110</f>
        <v>-109.80000000000001</v>
      </c>
      <c r="N110" s="3">
        <f>-53.4-SUM(L110:M110)</f>
        <v>-117.9</v>
      </c>
      <c r="AC110" s="3">
        <v>-173</v>
      </c>
      <c r="AD110" s="3">
        <v>-10.9</v>
      </c>
      <c r="AE110" s="3">
        <v>-49.8</v>
      </c>
      <c r="AF110" s="3">
        <v>-641</v>
      </c>
      <c r="AG110" s="3">
        <v>366.4</v>
      </c>
    </row>
    <row r="111" spans="1:33" x14ac:dyDescent="0.2">
      <c r="A111" s="3" t="s">
        <v>41</v>
      </c>
      <c r="AC111" s="3">
        <v>922</v>
      </c>
      <c r="AD111" s="3">
        <v>-317.5</v>
      </c>
      <c r="AE111" s="3">
        <v>251.1</v>
      </c>
      <c r="AF111" s="3">
        <v>0</v>
      </c>
      <c r="AG111" s="3">
        <v>0</v>
      </c>
    </row>
    <row r="112" spans="1:33" x14ac:dyDescent="0.2">
      <c r="A112" s="3" t="s">
        <v>61</v>
      </c>
      <c r="H112" s="3">
        <v>0</v>
      </c>
      <c r="I112" s="3">
        <v>0</v>
      </c>
      <c r="J112" s="3">
        <v>0</v>
      </c>
      <c r="K112" s="3">
        <f>52.5-SUM(H112:J112)</f>
        <v>52.5</v>
      </c>
      <c r="L112" s="3">
        <v>189.6</v>
      </c>
      <c r="M112" s="3">
        <f>-84.9-L112</f>
        <v>-274.5</v>
      </c>
      <c r="N112" s="3">
        <f>-50.7-SUM(L112:M112)</f>
        <v>34.200000000000003</v>
      </c>
      <c r="AC112" s="3">
        <v>1237.0999999999999</v>
      </c>
      <c r="AD112" s="3">
        <v>-1214.5999999999999</v>
      </c>
      <c r="AE112" s="3">
        <v>286.10000000000002</v>
      </c>
      <c r="AF112" s="3">
        <v>-149.6</v>
      </c>
      <c r="AG112" s="3">
        <v>52.5</v>
      </c>
    </row>
    <row r="113" spans="1:33" x14ac:dyDescent="0.2">
      <c r="A113" s="3" t="s">
        <v>47</v>
      </c>
      <c r="H113" s="3">
        <v>-117.3</v>
      </c>
      <c r="I113" s="3">
        <f>-51.2-H113</f>
        <v>66.099999999999994</v>
      </c>
      <c r="J113" s="3">
        <f>47.3-SUM(H113:I113)</f>
        <v>98.5</v>
      </c>
      <c r="K113" s="3">
        <f>100.1-SUM(H113:J113)</f>
        <v>52.8</v>
      </c>
      <c r="L113" s="3">
        <v>-95.8</v>
      </c>
      <c r="M113" s="3">
        <f>-51.6-L113</f>
        <v>44.199999999999996</v>
      </c>
      <c r="N113" s="3">
        <f>61.7-SUM(L113:M113)</f>
        <v>113.30000000000001</v>
      </c>
      <c r="AC113" s="3">
        <v>31.9</v>
      </c>
      <c r="AD113" s="3">
        <v>-210.8</v>
      </c>
      <c r="AE113" s="3">
        <v>189.9</v>
      </c>
      <c r="AF113" s="3">
        <v>345.5</v>
      </c>
      <c r="AG113" s="3">
        <v>100.1</v>
      </c>
    </row>
    <row r="114" spans="1:33" x14ac:dyDescent="0.2">
      <c r="A114" s="3" t="s">
        <v>50</v>
      </c>
      <c r="H114" s="3">
        <v>461</v>
      </c>
      <c r="I114" s="3">
        <f>54-H114</f>
        <v>-407</v>
      </c>
      <c r="J114" s="3">
        <f>-8.2-SUM(H114:I114)</f>
        <v>-62.2</v>
      </c>
      <c r="K114" s="3">
        <f>-110.8-SUM(H114:J114)</f>
        <v>-102.6</v>
      </c>
      <c r="L114" s="3">
        <v>508.5</v>
      </c>
      <c r="M114" s="3">
        <f>128.9-L114</f>
        <v>-379.6</v>
      </c>
      <c r="N114" s="3">
        <f>51.6-SUM(L114:M114)</f>
        <v>-77.299999999999983</v>
      </c>
      <c r="AC114" s="3">
        <v>-30.5</v>
      </c>
      <c r="AD114" s="3">
        <v>31</v>
      </c>
      <c r="AE114" s="3">
        <v>-6.1</v>
      </c>
      <c r="AF114" s="3">
        <v>-75.8</v>
      </c>
      <c r="AG114" s="3">
        <v>-110.8</v>
      </c>
    </row>
    <row r="115" spans="1:33" x14ac:dyDescent="0.2">
      <c r="A115" s="3" t="s">
        <v>43</v>
      </c>
      <c r="H115" s="3">
        <v>-281.39999999999998</v>
      </c>
      <c r="I115" s="3">
        <f>-621.8-H115</f>
        <v>-340.4</v>
      </c>
      <c r="J115" s="3">
        <f>-1056.1-SUM(H115:I115)</f>
        <v>-434.29999999999995</v>
      </c>
      <c r="K115" s="3">
        <f>-1443.8-SUM(H115:J115)</f>
        <v>-387.70000000000005</v>
      </c>
      <c r="L115" s="3">
        <v>-290.5</v>
      </c>
      <c r="M115" s="3">
        <f>-635.1-L115</f>
        <v>-344.6</v>
      </c>
      <c r="N115" s="3">
        <f>-1049.7-SUM(L115:M115)</f>
        <v>-414.6</v>
      </c>
      <c r="AC115" s="3">
        <v>0</v>
      </c>
      <c r="AD115" s="3">
        <v>-1231.4000000000001</v>
      </c>
      <c r="AE115" s="3">
        <v>-1488.1</v>
      </c>
      <c r="AF115" s="3">
        <v>-1625.6</v>
      </c>
      <c r="AG115" s="3">
        <v>-1443.8</v>
      </c>
    </row>
    <row r="116" spans="1:33" x14ac:dyDescent="0.2">
      <c r="A116" s="3" t="s">
        <v>12</v>
      </c>
      <c r="H116" s="3">
        <v>-198.6</v>
      </c>
      <c r="I116" s="3">
        <f>-445.5-H116</f>
        <v>-246.9</v>
      </c>
      <c r="J116" s="3">
        <f>-308.5-SUM(H116:I116)</f>
        <v>137</v>
      </c>
      <c r="K116" s="3">
        <f>-93.7-SUM(H116:J116)</f>
        <v>214.8</v>
      </c>
      <c r="L116" s="3">
        <v>-44.5</v>
      </c>
      <c r="M116" s="3">
        <f>-146.3-L116</f>
        <v>-101.80000000000001</v>
      </c>
      <c r="N116" s="3">
        <f>74.2-SUM(L116:M116)</f>
        <v>220.5</v>
      </c>
      <c r="AC116" s="3">
        <v>-141.1</v>
      </c>
      <c r="AD116" s="3">
        <v>280.5</v>
      </c>
      <c r="AE116" s="3">
        <v>358.7</v>
      </c>
      <c r="AF116" s="3">
        <v>339.6</v>
      </c>
      <c r="AG116" s="3">
        <v>-93.7</v>
      </c>
    </row>
    <row r="117" spans="1:33" x14ac:dyDescent="0.2">
      <c r="A117" s="3" t="s">
        <v>62</v>
      </c>
      <c r="H117" s="3">
        <f t="shared" ref="H117:J117" si="123">+SUM(H109:H116)</f>
        <v>14.200000000000017</v>
      </c>
      <c r="I117" s="3">
        <f t="shared" si="123"/>
        <v>-857.9</v>
      </c>
      <c r="J117" s="3">
        <f t="shared" si="123"/>
        <v>-242.99999999999994</v>
      </c>
      <c r="K117" s="3">
        <f>+SUM(K109:K116)</f>
        <v>-46.700000000000102</v>
      </c>
      <c r="L117" s="3">
        <f t="shared" ref="L117:N117" si="124">+SUM(L109:L116)</f>
        <v>483.90000000000009</v>
      </c>
      <c r="M117" s="3">
        <f t="shared" si="124"/>
        <v>-1122</v>
      </c>
      <c r="N117" s="3">
        <f t="shared" si="124"/>
        <v>-283.5</v>
      </c>
      <c r="AC117" s="3">
        <f>+SUM(AC109:AC116)</f>
        <v>1648.7</v>
      </c>
      <c r="AD117" s="3">
        <f>+SUM(AD109:AD116)</f>
        <v>-2676.3999999999996</v>
      </c>
      <c r="AE117" s="3">
        <f>+SUM(AE109:AE116)</f>
        <v>-501.19999999999987</v>
      </c>
      <c r="AF117" s="3">
        <f>+SUM(AF109:AF116)</f>
        <v>-2133</v>
      </c>
      <c r="AG117" s="3">
        <f>+SUM(AG109:AG116)</f>
        <v>-1133.4000000000001</v>
      </c>
    </row>
    <row r="118" spans="1:33" x14ac:dyDescent="0.2">
      <c r="A118" s="3" t="s">
        <v>63</v>
      </c>
      <c r="H118" s="3">
        <f t="shared" ref="H118:N118" si="125">+SUM(H98:H116)</f>
        <v>1593.1999999999998</v>
      </c>
      <c r="I118" s="3">
        <f t="shared" si="125"/>
        <v>767.59999999999968</v>
      </c>
      <c r="J118" s="3">
        <f t="shared" si="125"/>
        <v>1702.9000000000005</v>
      </c>
      <c r="K118" s="3">
        <f t="shared" si="125"/>
        <v>1944.9999999999995</v>
      </c>
      <c r="L118" s="3">
        <f t="shared" si="125"/>
        <v>2383.8999999999996</v>
      </c>
      <c r="M118" s="3">
        <f t="shared" si="125"/>
        <v>506.00000000000017</v>
      </c>
      <c r="N118" s="3">
        <f t="shared" si="125"/>
        <v>1670.0999999999995</v>
      </c>
      <c r="AC118" s="3">
        <f>+SUM(AC98:AC108)+AC117</f>
        <v>5047</v>
      </c>
      <c r="AD118" s="3">
        <f>+SUM(AD98:AD108)+AD117</f>
        <v>1597.8000000000002</v>
      </c>
      <c r="AE118" s="3">
        <f t="shared" ref="AE118:AG118" si="126">+SUM(AE98:AE108)+AE117</f>
        <v>5989.1</v>
      </c>
      <c r="AF118" s="3">
        <f t="shared" si="126"/>
        <v>4397.2999999999993</v>
      </c>
      <c r="AG118" s="3">
        <f t="shared" si="126"/>
        <v>6008.6999999999989</v>
      </c>
    </row>
    <row r="120" spans="1:33" x14ac:dyDescent="0.2">
      <c r="A120" s="3" t="s">
        <v>64</v>
      </c>
      <c r="H120" s="3">
        <f>-10.5+0.8+253.3</f>
        <v>243.60000000000002</v>
      </c>
      <c r="I120" s="3">
        <f>-247.7+1.9+270-H120</f>
        <v>-219.4</v>
      </c>
      <c r="J120" s="3">
        <f>-357.1+2+515-SUM(H120:I120)</f>
        <v>135.69999999999996</v>
      </c>
      <c r="K120" s="3">
        <f>-610.5+2.5+616.9-SUM(H120:J120)</f>
        <v>-151</v>
      </c>
      <c r="L120" s="3">
        <f>-217.1+253.5</f>
        <v>36.400000000000006</v>
      </c>
      <c r="M120" s="3">
        <f>-472+0.5+498.7-L120</f>
        <v>-9.2000000000000171</v>
      </c>
      <c r="N120" s="3">
        <f>-545.6+0.5+731.8-SUM(L120:M120)</f>
        <v>159.49999999999994</v>
      </c>
    </row>
    <row r="121" spans="1:33" x14ac:dyDescent="0.2">
      <c r="A121" s="3" t="s">
        <v>65</v>
      </c>
      <c r="H121" s="3">
        <v>-516.79999999999995</v>
      </c>
      <c r="I121" s="3">
        <f>-1002-H121</f>
        <v>-485.20000000000005</v>
      </c>
      <c r="J121" s="3">
        <f>-1634.1-SUM(H121:I121)</f>
        <v>-632.09999999999991</v>
      </c>
      <c r="K121" s="3">
        <f>-2333.6-SUM(H121:J121)</f>
        <v>-699.5</v>
      </c>
      <c r="L121" s="3">
        <v>-595.9</v>
      </c>
      <c r="M121" s="3">
        <f>-1255-L121</f>
        <v>-659.1</v>
      </c>
      <c r="N121" s="3">
        <f>-1979.3-SUM(L121:M121)</f>
        <v>-724.3</v>
      </c>
      <c r="AC121" s="3">
        <v>-1806.6</v>
      </c>
      <c r="AD121" s="3">
        <v>-1483.6</v>
      </c>
      <c r="AE121" s="3">
        <v>-1470</v>
      </c>
      <c r="AF121" s="3">
        <v>-1841.3</v>
      </c>
      <c r="AG121" s="3">
        <v>-2333.6</v>
      </c>
    </row>
    <row r="122" spans="1:33" x14ac:dyDescent="0.2">
      <c r="A122" s="3" t="s">
        <v>95</v>
      </c>
      <c r="H122" s="3">
        <v>0</v>
      </c>
      <c r="I122" s="3">
        <v>110</v>
      </c>
      <c r="J122" s="3">
        <f>110-SUM(H122:I122)</f>
        <v>0</v>
      </c>
      <c r="K122" s="3">
        <f>110-SUM(H122:J122)</f>
        <v>0</v>
      </c>
    </row>
    <row r="123" spans="1:33" x14ac:dyDescent="0.2">
      <c r="A123" s="3" t="s">
        <v>12</v>
      </c>
      <c r="H123" s="3">
        <v>-6.1</v>
      </c>
      <c r="I123" s="3">
        <f>-39.2-H123</f>
        <v>-33.1</v>
      </c>
      <c r="J123" s="3">
        <f>-42-SUM(H123:I123)</f>
        <v>-2.7999999999999972</v>
      </c>
      <c r="K123" s="3">
        <f>-56.1-SUM(H123:J123)</f>
        <v>-14.100000000000001</v>
      </c>
      <c r="L123" s="3">
        <v>-9.3000000000000007</v>
      </c>
      <c r="M123" s="3">
        <f>-36.2-L123</f>
        <v>-26.900000000000002</v>
      </c>
      <c r="N123" s="3">
        <f>-56.9-SUM(L123:M123)</f>
        <v>-20.699999999999996</v>
      </c>
    </row>
    <row r="124" spans="1:33" x14ac:dyDescent="0.2">
      <c r="A124" s="3" t="s">
        <v>66</v>
      </c>
      <c r="H124" s="3">
        <f t="shared" ref="H124:N124" si="127">+SUM(H120:H123)</f>
        <v>-279.29999999999995</v>
      </c>
      <c r="I124" s="3">
        <f t="shared" si="127"/>
        <v>-627.70000000000005</v>
      </c>
      <c r="J124" s="3">
        <f t="shared" si="127"/>
        <v>-499.2</v>
      </c>
      <c r="K124" s="3">
        <f t="shared" si="127"/>
        <v>-864.6</v>
      </c>
      <c r="L124" s="3">
        <f t="shared" si="127"/>
        <v>-568.79999999999995</v>
      </c>
      <c r="M124" s="3">
        <f t="shared" si="127"/>
        <v>-695.2</v>
      </c>
      <c r="N124" s="3">
        <f t="shared" si="127"/>
        <v>-585.5</v>
      </c>
    </row>
    <row r="126" spans="1:33" x14ac:dyDescent="0.2">
      <c r="A126" s="3" t="s">
        <v>7</v>
      </c>
      <c r="H126" s="3">
        <v>-175</v>
      </c>
      <c r="I126" s="3">
        <f>-175+52.8+1497.8-1000-H126</f>
        <v>550.59999999999991</v>
      </c>
      <c r="J126" s="3">
        <f>-175+83.7-46.7+1497.8-1000-SUM(H126:I126)</f>
        <v>-15.799999999999955</v>
      </c>
      <c r="K126" s="3">
        <f>-175+114.6-78.8+1497.8-1000-SUM(H126:J126)</f>
        <v>-1.2000000000000455</v>
      </c>
      <c r="L126" s="3">
        <f>300+49.1-33.8-750</f>
        <v>-434.7</v>
      </c>
      <c r="M126" s="3">
        <f>93.2-80.5+1995.3-1825.1-L126</f>
        <v>617.60000000000014</v>
      </c>
      <c r="N126" s="3">
        <f>118.3-127+1995.3-1825.1-SUM(L126:M126)</f>
        <v>-21.400000000000148</v>
      </c>
    </row>
    <row r="127" spans="1:33" x14ac:dyDescent="0.2">
      <c r="A127" s="3" t="s">
        <v>69</v>
      </c>
      <c r="H127" s="3">
        <v>45.9</v>
      </c>
      <c r="I127" s="3">
        <f>129.8-H127</f>
        <v>83.9</v>
      </c>
      <c r="J127" s="3">
        <f>149.4-SUM(H127:I127)</f>
        <v>19.599999999999994</v>
      </c>
      <c r="K127" s="3">
        <f>167.4-SUM(H127:J127)</f>
        <v>18</v>
      </c>
      <c r="L127" s="3">
        <v>32.299999999999997</v>
      </c>
      <c r="M127" s="3">
        <f>58.4-L127</f>
        <v>26.1</v>
      </c>
      <c r="N127" s="3">
        <f>79.2-SUM(L127:M127)</f>
        <v>20.800000000000004</v>
      </c>
    </row>
    <row r="128" spans="1:33" x14ac:dyDescent="0.2">
      <c r="A128" s="3" t="s">
        <v>67</v>
      </c>
      <c r="H128" s="3">
        <v>-608.29999999999995</v>
      </c>
      <c r="I128" s="3">
        <f>-1217.4-H128</f>
        <v>-609.10000000000014</v>
      </c>
      <c r="J128" s="3">
        <f>-1824.8-SUM(H128:I128)</f>
        <v>-607.39999999999986</v>
      </c>
      <c r="K128" s="3">
        <f>-2431.8-SUM(H128:J128)</f>
        <v>-607.00000000000023</v>
      </c>
      <c r="L128" s="3">
        <v>-648.1</v>
      </c>
      <c r="M128" s="3">
        <f>-1293.5-L128</f>
        <v>-645.4</v>
      </c>
      <c r="N128" s="3">
        <f>-1939-SUM(L128:M128)</f>
        <v>-645.5</v>
      </c>
      <c r="AC128" s="3">
        <v>-1761.3</v>
      </c>
      <c r="AD128" s="3">
        <v>-1923.5</v>
      </c>
      <c r="AE128" s="3">
        <v>-2119</v>
      </c>
      <c r="AF128" s="3">
        <v>-2263.3000000000002</v>
      </c>
      <c r="AG128" s="3">
        <v>-2431.8000000000002</v>
      </c>
    </row>
    <row r="129" spans="1:33" x14ac:dyDescent="0.2">
      <c r="A129" s="3" t="s">
        <v>70</v>
      </c>
      <c r="H129" s="3">
        <v>-191.4</v>
      </c>
      <c r="I129" s="3">
        <f>-479.3-H129</f>
        <v>-287.89999999999998</v>
      </c>
      <c r="J129" s="3">
        <f>-699.3-SUM(H129:I129)</f>
        <v>-220</v>
      </c>
      <c r="K129" s="3">
        <f>-984.4-SUM(H129:J129)</f>
        <v>-285.10000000000002</v>
      </c>
      <c r="L129" s="3">
        <v>-1266.7</v>
      </c>
      <c r="M129" s="3">
        <f>-1266.7-L129</f>
        <v>0</v>
      </c>
      <c r="N129" s="3">
        <f>-1266.7-SUM(L129:M129)</f>
        <v>0</v>
      </c>
      <c r="AC129" s="3">
        <v>-10222.299999999999</v>
      </c>
      <c r="AD129" s="3">
        <v>-1698.9</v>
      </c>
      <c r="AE129" s="3">
        <v>0</v>
      </c>
      <c r="AF129" s="3">
        <v>-4013</v>
      </c>
      <c r="AG129" s="3">
        <v>-984.4</v>
      </c>
    </row>
    <row r="130" spans="1:33" x14ac:dyDescent="0.2">
      <c r="A130" s="3" t="s">
        <v>68</v>
      </c>
      <c r="H130" s="3">
        <v>-79</v>
      </c>
      <c r="I130" s="3">
        <f>-81.4-H130</f>
        <v>-2.4000000000000057</v>
      </c>
      <c r="J130" s="3">
        <f>-87-SUM(H130:I130)</f>
        <v>-5.5999999999999943</v>
      </c>
      <c r="K130" s="3">
        <f>-89.3-SUM(H130:J130)</f>
        <v>-2.2999999999999972</v>
      </c>
      <c r="L130" s="3">
        <v>-92.1</v>
      </c>
      <c r="M130" s="3">
        <f>-94.1-L130</f>
        <v>-2</v>
      </c>
      <c r="N130" s="3">
        <f>-98.1-SUM(L130:M130)</f>
        <v>-4</v>
      </c>
    </row>
    <row r="131" spans="1:33" x14ac:dyDescent="0.2">
      <c r="A131" s="3" t="s">
        <v>12</v>
      </c>
      <c r="H131" s="3">
        <v>0</v>
      </c>
      <c r="I131" s="3">
        <f>-10.7-H131</f>
        <v>-10.7</v>
      </c>
      <c r="J131" s="3">
        <f>-11-SUM(H131:I131)</f>
        <v>-0.30000000000000071</v>
      </c>
      <c r="K131" s="3">
        <f>-11.1-SUM(H131:J131)</f>
        <v>-9.9999999999999645E-2</v>
      </c>
      <c r="L131" s="3">
        <v>0</v>
      </c>
      <c r="M131" s="3">
        <f>-10.6-L131</f>
        <v>-10.6</v>
      </c>
      <c r="N131" s="3">
        <f>-10.6-SUM(L131:M131)</f>
        <v>0</v>
      </c>
    </row>
    <row r="132" spans="1:33" x14ac:dyDescent="0.2">
      <c r="A132" s="3" t="s">
        <v>71</v>
      </c>
      <c r="H132" s="3">
        <f t="shared" ref="H132:N132" si="128">+SUM(H126:H131)</f>
        <v>-1007.8</v>
      </c>
      <c r="I132" s="3">
        <f t="shared" si="128"/>
        <v>-275.60000000000019</v>
      </c>
      <c r="J132" s="3">
        <f t="shared" si="128"/>
        <v>-829.49999999999977</v>
      </c>
      <c r="K132" s="3">
        <f t="shared" si="128"/>
        <v>-877.70000000000027</v>
      </c>
      <c r="L132" s="3">
        <f t="shared" si="128"/>
        <v>-2409.2999999999997</v>
      </c>
      <c r="M132" s="3">
        <f t="shared" si="128"/>
        <v>-14.299999999999818</v>
      </c>
      <c r="N132" s="3">
        <f t="shared" si="128"/>
        <v>-650.10000000000014</v>
      </c>
    </row>
    <row r="134" spans="1:33" x14ac:dyDescent="0.2">
      <c r="A134" s="3" t="s">
        <v>72</v>
      </c>
      <c r="H134" s="3">
        <v>62</v>
      </c>
      <c r="I134" s="3">
        <f>83-H134</f>
        <v>21</v>
      </c>
      <c r="J134" s="3">
        <f>-6-SUM(H134:I134)</f>
        <v>-89</v>
      </c>
      <c r="K134" s="3">
        <f>-14.2-SUM(H134:J134)</f>
        <v>-8.1999999999999993</v>
      </c>
      <c r="L134" s="3">
        <v>43.1</v>
      </c>
      <c r="M134" s="3">
        <f>10.4-L134</f>
        <v>-32.700000000000003</v>
      </c>
      <c r="N134" s="3">
        <f>-9.2-SUM(L134:M134)</f>
        <v>-19.599999999999998</v>
      </c>
    </row>
    <row r="135" spans="1:33" x14ac:dyDescent="0.2">
      <c r="A135" s="3" t="s">
        <v>73</v>
      </c>
      <c r="H135" s="3">
        <f t="shared" ref="H135:N135" si="129">+H118+H124+H132+H134</f>
        <v>368.09999999999991</v>
      </c>
      <c r="I135" s="3">
        <f t="shared" si="129"/>
        <v>-114.70000000000056</v>
      </c>
      <c r="J135" s="3">
        <f t="shared" si="129"/>
        <v>285.20000000000073</v>
      </c>
      <c r="K135" s="3">
        <f t="shared" si="129"/>
        <v>194.49999999999937</v>
      </c>
      <c r="L135" s="3">
        <f t="shared" si="129"/>
        <v>-551.1</v>
      </c>
      <c r="M135" s="3">
        <f t="shared" si="129"/>
        <v>-236.1999999999997</v>
      </c>
      <c r="N135" s="3">
        <f t="shared" si="129"/>
        <v>414.8999999999993</v>
      </c>
    </row>
    <row r="137" spans="1:33" s="11" customFormat="1" x14ac:dyDescent="0.2">
      <c r="A137" s="11" t="s">
        <v>74</v>
      </c>
      <c r="H137" s="11">
        <f t="shared" ref="H137:N137" si="130">+H118+H121</f>
        <v>1076.3999999999999</v>
      </c>
      <c r="I137" s="11">
        <f t="shared" si="130"/>
        <v>282.39999999999964</v>
      </c>
      <c r="J137" s="11">
        <f t="shared" si="130"/>
        <v>1070.8000000000006</v>
      </c>
      <c r="K137" s="11">
        <f t="shared" si="130"/>
        <v>1245.4999999999995</v>
      </c>
      <c r="L137" s="11">
        <f t="shared" si="130"/>
        <v>1787.9999999999995</v>
      </c>
      <c r="M137" s="11">
        <f t="shared" si="130"/>
        <v>-153.09999999999985</v>
      </c>
      <c r="N137" s="11">
        <f t="shared" si="130"/>
        <v>945.7999999999995</v>
      </c>
      <c r="AC137" s="11">
        <f>+AC118+AC121</f>
        <v>3240.4</v>
      </c>
      <c r="AD137" s="11">
        <f>+AD118+AD121</f>
        <v>114.20000000000027</v>
      </c>
      <c r="AE137" s="11">
        <f>+AE118+AE121</f>
        <v>4519.1000000000004</v>
      </c>
      <c r="AF137" s="11">
        <f>+AF118+AF121</f>
        <v>2555.9999999999991</v>
      </c>
      <c r="AG137" s="11">
        <f>+AG118+AG121</f>
        <v>3675.099999999999</v>
      </c>
    </row>
    <row r="138" spans="1:33" x14ac:dyDescent="0.2">
      <c r="A138" s="3" t="s">
        <v>75</v>
      </c>
      <c r="K138" s="3">
        <f t="shared" ref="K138:M138" si="131">+SUM(H137:K137)</f>
        <v>3675.1</v>
      </c>
      <c r="L138" s="3">
        <f t="shared" si="131"/>
        <v>4386.6999999999989</v>
      </c>
      <c r="M138" s="3">
        <f t="shared" si="131"/>
        <v>3951.1999999999994</v>
      </c>
      <c r="N138" s="3">
        <f>+SUM(K137:N137)</f>
        <v>3826.1999999999989</v>
      </c>
    </row>
    <row r="140" spans="1:33" x14ac:dyDescent="0.2">
      <c r="A140" s="3" t="s">
        <v>76</v>
      </c>
      <c r="U140" s="3">
        <v>149000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E878-83AA-4FA3-91E5-21AF2C82BC3C}">
  <dimension ref="B1:M11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H20" sqref="H20"/>
    </sheetView>
  </sheetViews>
  <sheetFormatPr defaultRowHeight="12.75" x14ac:dyDescent="0.2"/>
  <cols>
    <col min="1" max="1" width="3.140625" style="3" customWidth="1"/>
    <col min="2" max="2" width="29.85546875" style="3" bestFit="1" customWidth="1"/>
    <col min="3" max="10" width="9.140625" style="3"/>
    <col min="11" max="11" width="10.140625" style="3" bestFit="1" customWidth="1"/>
    <col min="12" max="16384" width="9.140625" style="3"/>
  </cols>
  <sheetData>
    <row r="1" spans="2:13" customFormat="1" ht="34.5" x14ac:dyDescent="0.45">
      <c r="B1" s="6" t="s">
        <v>0</v>
      </c>
    </row>
    <row r="2" spans="2:13" customFormat="1" x14ac:dyDescent="0.2">
      <c r="B2" s="12" t="s">
        <v>1</v>
      </c>
      <c r="C2" s="5">
        <v>44563</v>
      </c>
      <c r="D2" s="5">
        <v>44653</v>
      </c>
      <c r="E2" s="5">
        <v>44745</v>
      </c>
      <c r="F2" s="5">
        <v>44836</v>
      </c>
      <c r="G2" s="5">
        <v>44927</v>
      </c>
      <c r="H2" s="5">
        <v>45018</v>
      </c>
      <c r="I2" s="5">
        <v>45109</v>
      </c>
      <c r="J2" s="5">
        <v>45200</v>
      </c>
      <c r="K2" s="5">
        <v>45291</v>
      </c>
      <c r="L2" s="5">
        <v>45382</v>
      </c>
      <c r="M2" s="5">
        <v>45473</v>
      </c>
    </row>
    <row r="3" spans="2:13" customFormat="1" x14ac:dyDescent="0.2">
      <c r="B3" s="7" t="s">
        <v>2</v>
      </c>
      <c r="C3" s="8" t="s">
        <v>35</v>
      </c>
      <c r="D3" s="8" t="s">
        <v>34</v>
      </c>
      <c r="E3" s="8" t="s">
        <v>33</v>
      </c>
      <c r="F3" s="8" t="s">
        <v>30</v>
      </c>
      <c r="G3" s="8" t="s">
        <v>29</v>
      </c>
      <c r="H3" s="8" t="s">
        <v>28</v>
      </c>
      <c r="I3" s="8" t="s">
        <v>32</v>
      </c>
      <c r="J3" s="8" t="s">
        <v>31</v>
      </c>
      <c r="K3" s="8" t="s">
        <v>9</v>
      </c>
      <c r="L3" s="8" t="s">
        <v>10</v>
      </c>
      <c r="M3" s="8" t="s">
        <v>77</v>
      </c>
    </row>
    <row r="4" spans="2:13" customFormat="1" x14ac:dyDescent="0.2">
      <c r="B4" s="27" t="s">
        <v>150</v>
      </c>
    </row>
    <row r="5" spans="2:13" x14ac:dyDescent="0.2">
      <c r="B5" s="3" t="s">
        <v>87</v>
      </c>
      <c r="E5" s="3">
        <v>5622.9</v>
      </c>
      <c r="I5" s="3">
        <v>6272.3</v>
      </c>
      <c r="M5" s="3">
        <v>6366.8</v>
      </c>
    </row>
    <row r="6" spans="2:13" x14ac:dyDescent="0.2">
      <c r="B6" s="3" t="s">
        <v>152</v>
      </c>
      <c r="I6" s="3">
        <f>+E10*I11/1000</f>
        <v>6080.3701065411296</v>
      </c>
      <c r="M6" s="3">
        <f>+I10*M11/1000</f>
        <v>6143.7907471607896</v>
      </c>
    </row>
    <row r="7" spans="2:13" s="9" customFormat="1" x14ac:dyDescent="0.2">
      <c r="B7" s="9" t="s">
        <v>151</v>
      </c>
    </row>
    <row r="8" spans="2:13" s="9" customFormat="1" x14ac:dyDescent="0.2">
      <c r="B8" s="9" t="s">
        <v>84</v>
      </c>
    </row>
    <row r="9" spans="2:13" s="9" customFormat="1" x14ac:dyDescent="0.2">
      <c r="B9" s="9" t="s">
        <v>85</v>
      </c>
    </row>
    <row r="10" spans="2:13" x14ac:dyDescent="0.2">
      <c r="B10" s="3" t="s">
        <v>86</v>
      </c>
      <c r="E10" s="3">
        <v>15650</v>
      </c>
      <c r="I10" s="3">
        <v>16144</v>
      </c>
      <c r="M10" s="3">
        <v>16730</v>
      </c>
    </row>
    <row r="11" spans="2:13" x14ac:dyDescent="0.2">
      <c r="B11" s="3" t="s">
        <v>101</v>
      </c>
      <c r="I11" s="3">
        <f>+I5/I10*1000</f>
        <v>388.52205153617444</v>
      </c>
      <c r="M11" s="3">
        <f>+M5/M10*1000</f>
        <v>380.56186491332937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Dennis Hesselberth</cp:lastModifiedBy>
  <dcterms:created xsi:type="dcterms:W3CDTF">2024-05-03T19:27:19Z</dcterms:created>
  <dcterms:modified xsi:type="dcterms:W3CDTF">2024-10-27T08:21:33Z</dcterms:modified>
</cp:coreProperties>
</file>