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D34372B7-16B5-44B6-9E90-BD62F56FF4AA}" xr6:coauthVersionLast="47" xr6:coauthVersionMax="47" xr10:uidLastSave="{00000000-0000-0000-0000-000000000000}"/>
  <bookViews>
    <workbookView xWindow="390" yWindow="150" windowWidth="14415" windowHeight="15300" activeTab="1" xr2:uid="{52ADE630-FECA-4E0F-B19A-D676C28220D6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" l="1"/>
  <c r="M33" i="1"/>
  <c r="L33" i="1"/>
  <c r="K33" i="1"/>
  <c r="J33" i="1"/>
  <c r="O33" i="1"/>
  <c r="O45" i="1"/>
  <c r="O48" i="1" s="1"/>
  <c r="O44" i="1"/>
  <c r="O41" i="1"/>
  <c r="O39" i="1"/>
  <c r="O35" i="1"/>
  <c r="O34" i="1"/>
  <c r="N45" i="1"/>
  <c r="N44" i="1"/>
  <c r="N41" i="1"/>
  <c r="N39" i="1"/>
  <c r="N35" i="1"/>
  <c r="N34" i="1"/>
  <c r="M45" i="1"/>
  <c r="M44" i="1"/>
  <c r="M41" i="1"/>
  <c r="M39" i="1"/>
  <c r="M35" i="1"/>
  <c r="M34" i="1"/>
  <c r="L45" i="1"/>
  <c r="L44" i="1"/>
  <c r="L41" i="1"/>
  <c r="L39" i="1"/>
  <c r="L35" i="1"/>
  <c r="L34" i="1"/>
  <c r="N48" i="1" l="1"/>
  <c r="O42" i="1"/>
  <c r="O49" i="1" s="1"/>
  <c r="O50" i="1" s="1"/>
  <c r="N42" i="1"/>
  <c r="M48" i="1"/>
  <c r="M42" i="1"/>
  <c r="L48" i="1"/>
  <c r="L42" i="1"/>
  <c r="N49" i="1" l="1"/>
  <c r="N50" i="1" s="1"/>
  <c r="M49" i="1"/>
  <c r="M50" i="1" s="1"/>
  <c r="L49" i="1"/>
  <c r="L50" i="1" s="1"/>
  <c r="J45" i="1" l="1"/>
  <c r="J44" i="1"/>
  <c r="J39" i="1"/>
  <c r="J35" i="1"/>
  <c r="J34" i="1"/>
  <c r="K45" i="1"/>
  <c r="K48" i="1" s="1"/>
  <c r="K44" i="1"/>
  <c r="K39" i="1"/>
  <c r="K35" i="1"/>
  <c r="K34" i="1"/>
  <c r="R6" i="1"/>
  <c r="Q6" i="1"/>
  <c r="P6" i="1"/>
  <c r="R7" i="1"/>
  <c r="R31" i="1" s="1"/>
  <c r="Q7" i="1"/>
  <c r="M5" i="2"/>
  <c r="M6" i="2" s="1"/>
  <c r="O16" i="1"/>
  <c r="O10" i="1"/>
  <c r="O7" i="1"/>
  <c r="N16" i="1"/>
  <c r="N10" i="1"/>
  <c r="R10" i="1" s="1"/>
  <c r="N7" i="1"/>
  <c r="M16" i="1"/>
  <c r="M10" i="1"/>
  <c r="Q10" i="1" s="1"/>
  <c r="M7" i="1"/>
  <c r="L16" i="1"/>
  <c r="L10" i="1"/>
  <c r="P10" i="1" s="1"/>
  <c r="L7" i="1"/>
  <c r="P7" i="1" s="1"/>
  <c r="K16" i="1"/>
  <c r="K10" i="1"/>
  <c r="K7" i="1"/>
  <c r="F16" i="1"/>
  <c r="F10" i="1"/>
  <c r="F7" i="1"/>
  <c r="E7" i="1"/>
  <c r="E10" i="1"/>
  <c r="E16" i="1"/>
  <c r="E31" i="1"/>
  <c r="J16" i="1"/>
  <c r="J10" i="1"/>
  <c r="J7" i="1"/>
  <c r="I16" i="1"/>
  <c r="I10" i="1"/>
  <c r="I7" i="1"/>
  <c r="D16" i="1"/>
  <c r="D10" i="1"/>
  <c r="D7" i="1"/>
  <c r="H16" i="1"/>
  <c r="H10" i="1"/>
  <c r="H7" i="1"/>
  <c r="H31" i="1" s="1"/>
  <c r="C16" i="1"/>
  <c r="C10" i="1"/>
  <c r="C7" i="1"/>
  <c r="G16" i="1"/>
  <c r="G10" i="1"/>
  <c r="G7" i="1"/>
  <c r="G30" i="1" l="1"/>
  <c r="K42" i="1"/>
  <c r="K49" i="1" s="1"/>
  <c r="K50" i="1" s="1"/>
  <c r="P31" i="1"/>
  <c r="Q31" i="1"/>
  <c r="D31" i="1"/>
  <c r="J48" i="1"/>
  <c r="L31" i="1"/>
  <c r="G11" i="1"/>
  <c r="G25" i="1" s="1"/>
  <c r="J42" i="1"/>
  <c r="J49" i="1" s="1"/>
  <c r="J50" i="1" s="1"/>
  <c r="M31" i="1"/>
  <c r="F31" i="1"/>
  <c r="G17" i="1"/>
  <c r="E11" i="1"/>
  <c r="E17" i="1" s="1"/>
  <c r="K30" i="1"/>
  <c r="L11" i="1"/>
  <c r="L17" i="1" s="1"/>
  <c r="L26" i="1" s="1"/>
  <c r="N31" i="1"/>
  <c r="O11" i="1"/>
  <c r="O30" i="1"/>
  <c r="O31" i="1"/>
  <c r="N11" i="1"/>
  <c r="N30" i="1"/>
  <c r="M11" i="1"/>
  <c r="M25" i="1" s="1"/>
  <c r="M30" i="1"/>
  <c r="L30" i="1"/>
  <c r="K11" i="1"/>
  <c r="K31" i="1"/>
  <c r="G31" i="1"/>
  <c r="F11" i="1"/>
  <c r="J11" i="1"/>
  <c r="J25" i="1" s="1"/>
  <c r="J30" i="1"/>
  <c r="J31" i="1"/>
  <c r="I11" i="1"/>
  <c r="I17" i="1" s="1"/>
  <c r="I31" i="1"/>
  <c r="I30" i="1"/>
  <c r="D11" i="1"/>
  <c r="H30" i="1"/>
  <c r="H11" i="1"/>
  <c r="H25" i="1" s="1"/>
  <c r="C11" i="1"/>
  <c r="C17" i="1" s="1"/>
  <c r="E25" i="1" l="1"/>
  <c r="O17" i="1"/>
  <c r="P11" i="1"/>
  <c r="O25" i="1"/>
  <c r="L25" i="1"/>
  <c r="G19" i="1"/>
  <c r="G26" i="1"/>
  <c r="O26" i="1"/>
  <c r="O19" i="1"/>
  <c r="N25" i="1"/>
  <c r="N17" i="1"/>
  <c r="M17" i="1"/>
  <c r="M26" i="1" s="1"/>
  <c r="L19" i="1"/>
  <c r="L28" i="1" s="1"/>
  <c r="K25" i="1"/>
  <c r="K17" i="1"/>
  <c r="F17" i="1"/>
  <c r="F25" i="1"/>
  <c r="E26" i="1"/>
  <c r="E19" i="1"/>
  <c r="J17" i="1"/>
  <c r="J26" i="1" s="1"/>
  <c r="I25" i="1"/>
  <c r="I26" i="1"/>
  <c r="I19" i="1"/>
  <c r="D17" i="1"/>
  <c r="D25" i="1"/>
  <c r="H17" i="1"/>
  <c r="H26" i="1" s="1"/>
  <c r="C25" i="1"/>
  <c r="C26" i="1"/>
  <c r="C19" i="1"/>
  <c r="G28" i="1" l="1"/>
  <c r="G21" i="1"/>
  <c r="I21" i="1"/>
  <c r="I28" i="1"/>
  <c r="E21" i="1"/>
  <c r="E28" i="1"/>
  <c r="C21" i="1"/>
  <c r="C22" i="1" s="1"/>
  <c r="C28" i="1"/>
  <c r="O21" i="1"/>
  <c r="O28" i="1"/>
  <c r="N26" i="1"/>
  <c r="N19" i="1"/>
  <c r="M19" i="1"/>
  <c r="M28" i="1" s="1"/>
  <c r="L21" i="1"/>
  <c r="K19" i="1"/>
  <c r="K26" i="1"/>
  <c r="F19" i="1"/>
  <c r="F26" i="1"/>
  <c r="E27" i="1"/>
  <c r="E22" i="1"/>
  <c r="J19" i="1"/>
  <c r="I27" i="1"/>
  <c r="I22" i="1"/>
  <c r="D26" i="1"/>
  <c r="D19" i="1"/>
  <c r="H19" i="1"/>
  <c r="L22" i="1" l="1"/>
  <c r="C27" i="1"/>
  <c r="J21" i="1"/>
  <c r="J28" i="1"/>
  <c r="H21" i="1"/>
  <c r="H28" i="1"/>
  <c r="G22" i="1"/>
  <c r="G27" i="1"/>
  <c r="F21" i="1"/>
  <c r="F27" i="1" s="1"/>
  <c r="F28" i="1"/>
  <c r="K21" i="1"/>
  <c r="K28" i="1"/>
  <c r="D21" i="1"/>
  <c r="D22" i="1" s="1"/>
  <c r="D28" i="1"/>
  <c r="O27" i="1"/>
  <c r="O22" i="1"/>
  <c r="N28" i="1"/>
  <c r="N21" i="1"/>
  <c r="M21" i="1"/>
  <c r="M27" i="1" s="1"/>
  <c r="L27" i="1"/>
  <c r="J22" i="1"/>
  <c r="F22" i="1" l="1"/>
  <c r="H27" i="1"/>
  <c r="J27" i="1"/>
  <c r="H22" i="1"/>
  <c r="D27" i="1"/>
  <c r="K22" i="1"/>
  <c r="K27" i="1"/>
  <c r="N27" i="1"/>
  <c r="N22" i="1"/>
  <c r="M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</authors>
  <commentList>
    <comment ref="L16" authorId="0" shapeId="0" xr:uid="{112A8A96-0203-4D09-96B6-0D48B67B33B9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Impairment 1,340
not included
one time expense</t>
        </r>
      </text>
    </comment>
  </commentList>
</comments>
</file>

<file path=xl/sharedStrings.xml><?xml version="1.0" encoding="utf-8"?>
<sst xmlns="http://schemas.openxmlformats.org/spreadsheetml/2006/main" count="95" uniqueCount="80">
  <si>
    <t>Shopify</t>
  </si>
  <si>
    <t>(SHOP)</t>
  </si>
  <si>
    <t>(in millions)</t>
  </si>
  <si>
    <t>Q122</t>
  </si>
  <si>
    <t>Q222</t>
  </si>
  <si>
    <t>Q322</t>
  </si>
  <si>
    <t>Q422</t>
  </si>
  <si>
    <t>Q123</t>
  </si>
  <si>
    <t>Q223</t>
  </si>
  <si>
    <t>Q323</t>
  </si>
  <si>
    <t>Q423</t>
  </si>
  <si>
    <t>Q121</t>
  </si>
  <si>
    <t>Q221</t>
  </si>
  <si>
    <t>Q321</t>
  </si>
  <si>
    <t>Q421</t>
  </si>
  <si>
    <t>Q124</t>
  </si>
  <si>
    <t>Q224</t>
  </si>
  <si>
    <t>Q324</t>
  </si>
  <si>
    <t>Q424</t>
  </si>
  <si>
    <t>Subsscription</t>
  </si>
  <si>
    <t>Merchant</t>
  </si>
  <si>
    <t>Revenue</t>
  </si>
  <si>
    <t>COGS</t>
  </si>
  <si>
    <t>Gross profit</t>
  </si>
  <si>
    <t>S&amp;M</t>
  </si>
  <si>
    <t>R&amp;D</t>
  </si>
  <si>
    <t>G&amp;A</t>
  </si>
  <si>
    <t>Transaction losses</t>
  </si>
  <si>
    <t>Operating expense</t>
  </si>
  <si>
    <t>Operating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</si>
  <si>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</si>
  <si>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</si>
  <si>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</si>
  <si>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</si>
  <si>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</si>
  <si>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</si>
  <si>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</si>
  <si>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</si>
  <si>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</si>
  <si>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</si>
  <si>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Revenue q/q</t>
  </si>
  <si>
    <t>Interest income(expense)</t>
  </si>
  <si>
    <t>Price</t>
  </si>
  <si>
    <t>MC</t>
  </si>
  <si>
    <t>Cash</t>
  </si>
  <si>
    <t>Debt</t>
  </si>
  <si>
    <t>EV</t>
  </si>
  <si>
    <t>Net cash</t>
  </si>
  <si>
    <t>A/R</t>
  </si>
  <si>
    <t>OCA</t>
  </si>
  <si>
    <t>PP&amp;E</t>
  </si>
  <si>
    <t>Lease</t>
  </si>
  <si>
    <t>Goodwill</t>
  </si>
  <si>
    <t>D/T</t>
  </si>
  <si>
    <t>Investments</t>
  </si>
  <si>
    <t>Assets</t>
  </si>
  <si>
    <t>A/P</t>
  </si>
  <si>
    <t>D/R</t>
  </si>
  <si>
    <t>Liabilities</t>
  </si>
  <si>
    <t>S/E</t>
  </si>
  <si>
    <t>L+S/E</t>
  </si>
  <si>
    <t>Model NI</t>
  </si>
  <si>
    <t>Reported NI</t>
  </si>
  <si>
    <t>D&amp;A</t>
  </si>
  <si>
    <t>SBC</t>
  </si>
  <si>
    <t>Provision</t>
  </si>
  <si>
    <t xml:space="preserve">Non-cash </t>
  </si>
  <si>
    <t>FX</t>
  </si>
  <si>
    <t>Working capital</t>
  </si>
  <si>
    <t>CFFO</t>
  </si>
  <si>
    <t>CapEx</t>
  </si>
  <si>
    <t>Securities</t>
  </si>
  <si>
    <t>Acquisition</t>
  </si>
  <si>
    <t>Change in investing</t>
  </si>
  <si>
    <t>CFFI</t>
  </si>
  <si>
    <t>Options</t>
  </si>
  <si>
    <t>CFFF</t>
  </si>
  <si>
    <t>CIC</t>
  </si>
  <si>
    <t>FCF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</si>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</sst>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horizontal="right"/>
    </xf>
    <xf numFmtId="14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4" fontId="0" fillId="0" borderId="0" xfId="0" applyNumberFormat="1"/>
    <xf numFmtId="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19050</xdr:rowOff>
    </xdr:from>
    <xdr:to>
      <xdr:col>15</xdr:col>
      <xdr:colOff>28575</xdr:colOff>
      <xdr:row>55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DDFB1E-F16D-FBF7-2E17-BD006408B2F8}"/>
            </a:ext>
          </a:extLst>
        </xdr:cNvPr>
        <xdr:cNvCxnSpPr/>
      </xdr:nvCxnSpPr>
      <xdr:spPr>
        <a:xfrm>
          <a:off x="10325100" y="152400"/>
          <a:ext cx="0" cy="9477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</xdr:row>
      <xdr:rowOff>19050</xdr:rowOff>
    </xdr:from>
    <xdr:to>
      <xdr:col>27</xdr:col>
      <xdr:colOff>28575</xdr:colOff>
      <xdr:row>43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F0BF586-ACED-4CF2-9827-31AFFE8467D4}"/>
            </a:ext>
          </a:extLst>
        </xdr:cNvPr>
        <xdr:cNvCxnSpPr/>
      </xdr:nvCxnSpPr>
      <xdr:spPr>
        <a:xfrm>
          <a:off x="16592550" y="19050"/>
          <a:ext cx="0" cy="706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62AE-7D97-4785-95D8-46AA6EA558F6}">
  <dimension ref="B1:M9"/>
  <sheetViews>
    <sheetView workbookViewId="0">
      <selection activeCell="M7" sqref="M7"/>
    </sheetView>
  </sheetViews>
  <sheetFormatPr defaultRowHeight="12.75" x14ac:dyDescent="0.2"/>
  <cols>
    <col min="1" max="1" width="2.7109375" customWidth="1"/>
    <col min="2" max="2" width="19.85546875" bestFit="1" customWidth="1"/>
  </cols>
  <sheetData>
    <row r="1" spans="2:13" ht="10.5" customHeight="1" x14ac:dyDescent="0.2"/>
    <row r="2" spans="2:13" ht="34.5" x14ac:dyDescent="0.45">
      <c r="B2" s="1" t="s">
        <v>0</v>
      </c>
    </row>
    <row r="3" spans="2:13" x14ac:dyDescent="0.2">
      <c r="B3" s="3" t="s">
        <v>1</v>
      </c>
    </row>
    <row r="4" spans="2:13" x14ac:dyDescent="0.2">
      <c r="B4" s="4" t="s">
        <v>2</v>
      </c>
      <c r="L4" t="s">
        <v>42</v>
      </c>
      <c r="M4" s="2">
        <v>62</v>
      </c>
    </row>
    <row r="5" spans="2:13" x14ac:dyDescent="0.2">
      <c r="L5" t="s">
        <v>34</v>
      </c>
      <c r="M5" s="2">
        <f>+Model!O23</f>
        <v>1287.3767190000001</v>
      </c>
    </row>
    <row r="6" spans="2:13" x14ac:dyDescent="0.2">
      <c r="L6" t="s">
        <v>43</v>
      </c>
      <c r="M6" s="2">
        <f>+M4*M5</f>
        <v>79817.356578000006</v>
      </c>
    </row>
    <row r="7" spans="2:13" x14ac:dyDescent="0.2">
      <c r="L7" t="s">
        <v>44</v>
      </c>
      <c r="M7" s="2"/>
    </row>
    <row r="8" spans="2:13" x14ac:dyDescent="0.2">
      <c r="L8" t="s">
        <v>45</v>
      </c>
      <c r="M8" s="2"/>
    </row>
    <row r="9" spans="2:13" x14ac:dyDescent="0.2">
      <c r="L9" t="s">
        <v>46</v>
      </c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27FD-C6FF-4428-9B2A-37B96AC6F673}">
  <dimension ref="B1:AA79"/>
  <sheetViews>
    <sheetView tabSelected="1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F33" sqref="F33"/>
    </sheetView>
  </sheetViews>
  <sheetFormatPr defaultRowHeight="12.75" x14ac:dyDescent="0.2"/>
  <cols>
    <col min="1" max="1" width="2.7109375" style="2" customWidth="1"/>
    <col min="2" max="2" width="19.85546875" style="2" bestFit="1" customWidth="1"/>
    <col min="3" max="15" width="10.140625" style="2" bestFit="1" customWidth="1"/>
    <col min="16" max="16384" width="9.140625" style="2"/>
  </cols>
  <sheetData>
    <row r="1" spans="2:27" ht="10.5" customHeight="1" x14ac:dyDescent="0.2"/>
    <row r="2" spans="2:27" ht="34.5" x14ac:dyDescent="0.45">
      <c r="B2" s="1" t="s">
        <v>0</v>
      </c>
    </row>
    <row r="3" spans="2:27" s="6" customFormat="1" x14ac:dyDescent="0.2">
      <c r="B3" s="3" t="s">
        <v>1</v>
      </c>
      <c r="C3" s="6">
        <v>44286</v>
      </c>
      <c r="D3" s="6">
        <v>44377</v>
      </c>
      <c r="E3" s="6">
        <v>44469</v>
      </c>
      <c r="F3" s="6">
        <v>44561</v>
      </c>
      <c r="G3" s="6">
        <v>44651</v>
      </c>
      <c r="H3" s="6">
        <v>44742</v>
      </c>
      <c r="I3" s="6">
        <v>44834</v>
      </c>
      <c r="J3" s="6">
        <v>44926</v>
      </c>
      <c r="K3" s="6">
        <v>45016</v>
      </c>
      <c r="L3" s="6">
        <v>45107</v>
      </c>
      <c r="M3" s="6">
        <v>45199</v>
      </c>
      <c r="N3" s="6">
        <v>45291</v>
      </c>
      <c r="O3" s="6">
        <v>45382</v>
      </c>
    </row>
    <row r="4" spans="2:27" s="5" customFormat="1" x14ac:dyDescent="0.2">
      <c r="B4" s="4" t="s">
        <v>2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15</v>
      </c>
      <c r="P4" s="5" t="s">
        <v>16</v>
      </c>
      <c r="Q4" s="5" t="s">
        <v>17</v>
      </c>
      <c r="R4" s="5" t="s">
        <v>18</v>
      </c>
      <c r="W4" s="5">
        <v>2019</v>
      </c>
      <c r="X4" s="5">
        <v>2020</v>
      </c>
      <c r="Y4" s="5">
        <v>2021</v>
      </c>
      <c r="Z4" s="5">
        <v>2022</v>
      </c>
      <c r="AA4" s="5">
        <v>2023</v>
      </c>
    </row>
    <row r="5" spans="2:27" x14ac:dyDescent="0.2">
      <c r="B5" s="2" t="s">
        <v>19</v>
      </c>
      <c r="C5" s="2">
        <v>320.68099999999998</v>
      </c>
      <c r="D5" s="2">
        <v>334.23700000000002</v>
      </c>
      <c r="E5" s="2">
        <v>336.20800000000003</v>
      </c>
      <c r="F5" s="2">
        <v>351.20800000000003</v>
      </c>
      <c r="G5" s="2">
        <v>344.76100000000002</v>
      </c>
      <c r="H5" s="2">
        <v>366.44299999999998</v>
      </c>
      <c r="I5" s="2">
        <v>376.30099999999999</v>
      </c>
      <c r="J5" s="2">
        <v>400.25400000000002</v>
      </c>
      <c r="K5" s="2">
        <v>382</v>
      </c>
      <c r="L5" s="2">
        <v>444</v>
      </c>
      <c r="M5" s="2">
        <v>486</v>
      </c>
      <c r="N5" s="2">
        <v>525</v>
      </c>
      <c r="O5" s="2">
        <v>511</v>
      </c>
    </row>
    <row r="6" spans="2:27" x14ac:dyDescent="0.2">
      <c r="B6" s="2" t="s">
        <v>20</v>
      </c>
      <c r="C6" s="2">
        <v>667.96600000000001</v>
      </c>
      <c r="D6" s="2">
        <v>785.20799999999997</v>
      </c>
      <c r="E6" s="2">
        <v>787.53200000000004</v>
      </c>
      <c r="F6" s="2">
        <v>1028.816</v>
      </c>
      <c r="G6" s="2">
        <v>858.86199999999997</v>
      </c>
      <c r="H6" s="2">
        <v>928.62</v>
      </c>
      <c r="I6" s="2">
        <v>989.899</v>
      </c>
      <c r="J6" s="2">
        <v>1334.7239999999999</v>
      </c>
      <c r="K6" s="2">
        <v>1126</v>
      </c>
      <c r="L6" s="2">
        <v>1250</v>
      </c>
      <c r="M6" s="2">
        <v>1228</v>
      </c>
      <c r="N6" s="2">
        <v>1619</v>
      </c>
      <c r="O6" s="2">
        <v>1350</v>
      </c>
      <c r="P6" s="2">
        <f>+L6*1.1</f>
        <v>1375</v>
      </c>
      <c r="Q6" s="2">
        <f t="shared" ref="Q6:R6" si="0">+M6*1.1</f>
        <v>1350.8000000000002</v>
      </c>
      <c r="R6" s="2">
        <f t="shared" si="0"/>
        <v>1780.9</v>
      </c>
    </row>
    <row r="7" spans="2:27" s="8" customFormat="1" x14ac:dyDescent="0.2">
      <c r="B7" s="8" t="s">
        <v>21</v>
      </c>
      <c r="C7" s="8">
        <f>+C5+C6</f>
        <v>988.64699999999993</v>
      </c>
      <c r="D7" s="8">
        <f>+D5+D6</f>
        <v>1119.4449999999999</v>
      </c>
      <c r="E7" s="8">
        <f>+E5+E6</f>
        <v>1123.74</v>
      </c>
      <c r="F7" s="8">
        <f>+F5+F6</f>
        <v>1380.0240000000001</v>
      </c>
      <c r="G7" s="8">
        <f>+G5+G6</f>
        <v>1203.623</v>
      </c>
      <c r="H7" s="8">
        <f>+H5+H6</f>
        <v>1295.0630000000001</v>
      </c>
      <c r="I7" s="8">
        <f>+I5+I6</f>
        <v>1366.2</v>
      </c>
      <c r="J7" s="8">
        <f>+J5+J6</f>
        <v>1734.9780000000001</v>
      </c>
      <c r="K7" s="8">
        <f>+K5+K6</f>
        <v>1508</v>
      </c>
      <c r="L7" s="8">
        <f>+L5+L6</f>
        <v>1694</v>
      </c>
      <c r="M7" s="8">
        <f>+M5+M6</f>
        <v>1714</v>
      </c>
      <c r="N7" s="8">
        <f>+N5+N6</f>
        <v>2144</v>
      </c>
      <c r="O7" s="8">
        <f>+O5+O6</f>
        <v>1861</v>
      </c>
      <c r="P7" s="8">
        <f>+L7*1.2</f>
        <v>2032.8</v>
      </c>
      <c r="Q7" s="8">
        <f t="shared" ref="Q7:R7" si="1">+M7*1.2</f>
        <v>2056.7999999999997</v>
      </c>
      <c r="R7" s="8">
        <f t="shared" si="1"/>
        <v>2572.7999999999997</v>
      </c>
    </row>
    <row r="8" spans="2:27" x14ac:dyDescent="0.2">
      <c r="B8" s="2" t="s">
        <v>19</v>
      </c>
      <c r="C8" s="2">
        <v>58.381999999999998</v>
      </c>
      <c r="D8" s="2">
        <v>63.027000000000001</v>
      </c>
      <c r="E8" s="2">
        <v>67.355000000000004</v>
      </c>
      <c r="F8" s="2">
        <v>75.587000000000003</v>
      </c>
      <c r="G8" s="2">
        <v>77.545000000000002</v>
      </c>
      <c r="H8" s="2">
        <v>85.238</v>
      </c>
      <c r="I8" s="2">
        <v>82.313000000000002</v>
      </c>
      <c r="J8" s="2">
        <v>85.771000000000001</v>
      </c>
      <c r="K8" s="2">
        <v>84</v>
      </c>
      <c r="L8" s="2">
        <v>85</v>
      </c>
      <c r="M8" s="2">
        <v>88</v>
      </c>
      <c r="N8" s="2">
        <v>97</v>
      </c>
      <c r="O8" s="2">
        <v>95</v>
      </c>
    </row>
    <row r="9" spans="2:27" x14ac:dyDescent="0.2">
      <c r="B9" s="2" t="s">
        <v>20</v>
      </c>
      <c r="C9" s="2">
        <v>271.54899999999998</v>
      </c>
      <c r="D9" s="2">
        <v>435.55799999999999</v>
      </c>
      <c r="E9" s="2">
        <v>447.476</v>
      </c>
      <c r="F9" s="2">
        <v>611.77800000000002</v>
      </c>
      <c r="G9" s="2">
        <v>488.44099999999997</v>
      </c>
      <c r="H9" s="2">
        <v>554.18299999999999</v>
      </c>
      <c r="I9" s="2">
        <v>621.55499999999995</v>
      </c>
      <c r="J9" s="2">
        <v>850.69899999999996</v>
      </c>
      <c r="K9" s="2">
        <v>707</v>
      </c>
      <c r="L9" s="2">
        <v>774</v>
      </c>
      <c r="M9" s="2">
        <v>725</v>
      </c>
      <c r="N9" s="2">
        <v>985</v>
      </c>
      <c r="O9" s="2">
        <v>809</v>
      </c>
    </row>
    <row r="10" spans="2:27" x14ac:dyDescent="0.2">
      <c r="B10" s="2" t="s">
        <v>22</v>
      </c>
      <c r="C10" s="2">
        <f>+C8+C9</f>
        <v>329.93099999999998</v>
      </c>
      <c r="D10" s="2">
        <f>+D8+D9</f>
        <v>498.58499999999998</v>
      </c>
      <c r="E10" s="2">
        <f>+E8+E9</f>
        <v>514.83100000000002</v>
      </c>
      <c r="F10" s="2">
        <f>+F8+F9</f>
        <v>687.36500000000001</v>
      </c>
      <c r="G10" s="2">
        <f>+G8+G9</f>
        <v>565.98599999999999</v>
      </c>
      <c r="H10" s="2">
        <f>+H8+H9</f>
        <v>639.42100000000005</v>
      </c>
      <c r="I10" s="2">
        <f>+I8+I9</f>
        <v>703.86799999999994</v>
      </c>
      <c r="J10" s="2">
        <f>+J8+J9</f>
        <v>936.46999999999991</v>
      </c>
      <c r="K10" s="2">
        <f>+K8+K9</f>
        <v>791</v>
      </c>
      <c r="L10" s="2">
        <f>+L8+L9</f>
        <v>859</v>
      </c>
      <c r="M10" s="2">
        <f>+M8+M9</f>
        <v>813</v>
      </c>
      <c r="N10" s="2">
        <f>+N8+N9</f>
        <v>1082</v>
      </c>
      <c r="O10" s="2">
        <f>+O8+O9</f>
        <v>904</v>
      </c>
      <c r="P10" s="2">
        <f>+L10*1.05</f>
        <v>901.95</v>
      </c>
      <c r="Q10" s="2">
        <f t="shared" ref="Q10:R10" si="2">+M10*1.05</f>
        <v>853.65000000000009</v>
      </c>
      <c r="R10" s="2">
        <f t="shared" si="2"/>
        <v>1136.1000000000001</v>
      </c>
    </row>
    <row r="11" spans="2:27" s="8" customFormat="1" x14ac:dyDescent="0.2">
      <c r="B11" s="8" t="s">
        <v>23</v>
      </c>
      <c r="C11" s="8">
        <f>+C7-C10</f>
        <v>658.71599999999989</v>
      </c>
      <c r="D11" s="8">
        <f>+D7-D10</f>
        <v>620.8599999999999</v>
      </c>
      <c r="E11" s="8">
        <f>+E7-E10</f>
        <v>608.90899999999999</v>
      </c>
      <c r="F11" s="8">
        <f>+F7-F10</f>
        <v>692.65900000000011</v>
      </c>
      <c r="G11" s="8">
        <f>+G7-G10</f>
        <v>637.63700000000006</v>
      </c>
      <c r="H11" s="8">
        <f>+H7-H10</f>
        <v>655.64200000000005</v>
      </c>
      <c r="I11" s="8">
        <f>+I7-I10</f>
        <v>662.33200000000011</v>
      </c>
      <c r="J11" s="8">
        <f>+J7-J10</f>
        <v>798.50800000000015</v>
      </c>
      <c r="K11" s="8">
        <f>+K7-K10</f>
        <v>717</v>
      </c>
      <c r="L11" s="8">
        <f>+L7-L10</f>
        <v>835</v>
      </c>
      <c r="M11" s="8">
        <f>+M7-M10</f>
        <v>901</v>
      </c>
      <c r="N11" s="8">
        <f>+N7-N10</f>
        <v>1062</v>
      </c>
      <c r="O11" s="8">
        <f>+O7-O10</f>
        <v>957</v>
      </c>
      <c r="P11" s="8">
        <f>+O11*0.995</f>
        <v>952.21500000000003</v>
      </c>
    </row>
    <row r="12" spans="2:27" x14ac:dyDescent="0.2">
      <c r="B12" s="2" t="s">
        <v>24</v>
      </c>
      <c r="C12" s="2">
        <v>186.22300000000001</v>
      </c>
      <c r="D12" s="2">
        <v>201.91</v>
      </c>
      <c r="E12" s="2">
        <v>237.94900000000001</v>
      </c>
      <c r="F12" s="2">
        <v>275.47500000000002</v>
      </c>
      <c r="G12" s="2">
        <v>303.37099999999998</v>
      </c>
      <c r="H12" s="2">
        <v>326.90199999999999</v>
      </c>
      <c r="I12" s="2">
        <v>302.476</v>
      </c>
      <c r="J12" s="2">
        <v>297.74099999999999</v>
      </c>
      <c r="K12" s="2">
        <v>287</v>
      </c>
      <c r="L12" s="2">
        <v>321</v>
      </c>
      <c r="M12" s="2">
        <v>295</v>
      </c>
      <c r="N12" s="2">
        <v>317</v>
      </c>
      <c r="O12" s="2">
        <v>361</v>
      </c>
    </row>
    <row r="13" spans="2:27" x14ac:dyDescent="0.2">
      <c r="B13" s="2" t="s">
        <v>25</v>
      </c>
      <c r="C13" s="2">
        <v>175.886</v>
      </c>
      <c r="D13" s="2">
        <v>183.55699999999999</v>
      </c>
      <c r="E13" s="2">
        <v>221.02799999999999</v>
      </c>
      <c r="F13" s="2">
        <v>273.91199999999998</v>
      </c>
      <c r="G13" s="2">
        <v>303.661</v>
      </c>
      <c r="H13" s="2">
        <v>346.66699999999997</v>
      </c>
      <c r="I13" s="2">
        <v>412.35899999999998</v>
      </c>
      <c r="J13" s="2">
        <v>440.54700000000003</v>
      </c>
      <c r="K13" s="2">
        <v>458</v>
      </c>
      <c r="L13" s="2">
        <v>648</v>
      </c>
      <c r="M13" s="2">
        <v>313</v>
      </c>
      <c r="N13" s="2">
        <v>311</v>
      </c>
      <c r="O13" s="2">
        <v>335</v>
      </c>
    </row>
    <row r="14" spans="2:27" x14ac:dyDescent="0.2">
      <c r="B14" s="2" t="s">
        <v>26</v>
      </c>
      <c r="C14" s="2">
        <v>67.102000000000004</v>
      </c>
      <c r="D14" s="2">
        <v>77.965999999999994</v>
      </c>
      <c r="E14" s="2">
        <v>128.72200000000001</v>
      </c>
      <c r="F14" s="2">
        <v>101.054</v>
      </c>
      <c r="G14" s="2">
        <v>108.08799999999999</v>
      </c>
      <c r="H14" s="2">
        <v>129.90100000000001</v>
      </c>
      <c r="I14" s="2">
        <v>255.125</v>
      </c>
      <c r="J14" s="2">
        <v>214.65100000000001</v>
      </c>
      <c r="K14" s="2">
        <v>123</v>
      </c>
      <c r="L14" s="2">
        <v>131</v>
      </c>
      <c r="M14" s="2">
        <v>137</v>
      </c>
      <c r="N14" s="2">
        <v>100</v>
      </c>
      <c r="O14" s="2">
        <v>124</v>
      </c>
    </row>
    <row r="15" spans="2:27" x14ac:dyDescent="0.2">
      <c r="B15" s="2" t="s">
        <v>27</v>
      </c>
      <c r="C15" s="2">
        <v>10.606</v>
      </c>
      <c r="D15" s="2">
        <v>17.986000000000001</v>
      </c>
      <c r="E15" s="2">
        <v>25.311</v>
      </c>
      <c r="F15" s="2">
        <v>27.814</v>
      </c>
      <c r="G15" s="2">
        <v>20.492999999999999</v>
      </c>
      <c r="H15" s="2">
        <v>42.38</v>
      </c>
      <c r="I15" s="2">
        <v>37.738</v>
      </c>
      <c r="J15" s="2">
        <v>34.317999999999998</v>
      </c>
      <c r="K15" s="2">
        <v>42</v>
      </c>
      <c r="L15" s="2">
        <v>31</v>
      </c>
      <c r="M15" s="2">
        <v>34</v>
      </c>
      <c r="N15" s="2">
        <v>45</v>
      </c>
      <c r="O15" s="2">
        <v>51</v>
      </c>
    </row>
    <row r="16" spans="2:27" x14ac:dyDescent="0.2">
      <c r="B16" s="2" t="s">
        <v>28</v>
      </c>
      <c r="C16" s="2">
        <f>+SUM(C12:C15)</f>
        <v>439.81700000000001</v>
      </c>
      <c r="D16" s="2">
        <f>+SUM(D12:D15)</f>
        <v>481.41899999999998</v>
      </c>
      <c r="E16" s="2">
        <f>+SUM(E12:E15)</f>
        <v>613.01</v>
      </c>
      <c r="F16" s="2">
        <f>+SUM(F12:F15)</f>
        <v>678.25499999999988</v>
      </c>
      <c r="G16" s="2">
        <f>+SUM(G12:G15)</f>
        <v>735.61299999999994</v>
      </c>
      <c r="H16" s="2">
        <f>+SUM(H12:H15)</f>
        <v>845.85</v>
      </c>
      <c r="I16" s="2">
        <f>+SUM(I12:I15)</f>
        <v>1007.6980000000001</v>
      </c>
      <c r="J16" s="2">
        <f>+SUM(J12:J15)</f>
        <v>987.25700000000006</v>
      </c>
      <c r="K16" s="2">
        <f>+SUM(K12:K15)</f>
        <v>910</v>
      </c>
      <c r="L16" s="2">
        <f>+SUM(L12:L15)</f>
        <v>1131</v>
      </c>
      <c r="M16" s="2">
        <f>+SUM(M12:M15)</f>
        <v>779</v>
      </c>
      <c r="N16" s="2">
        <f>+SUM(N12:N15)</f>
        <v>773</v>
      </c>
      <c r="O16" s="2">
        <f>+SUM(O12:O15)</f>
        <v>871</v>
      </c>
    </row>
    <row r="17" spans="2:18" s="8" customFormat="1" x14ac:dyDescent="0.2">
      <c r="B17" s="8" t="s">
        <v>29</v>
      </c>
      <c r="C17" s="8">
        <f>+C11-C16</f>
        <v>218.89899999999989</v>
      </c>
      <c r="D17" s="8">
        <f>+D11-D16</f>
        <v>139.44099999999992</v>
      </c>
      <c r="E17" s="8">
        <f>+E11-E16</f>
        <v>-4.1009999999999991</v>
      </c>
      <c r="F17" s="8">
        <f>+F11-F16</f>
        <v>14.404000000000224</v>
      </c>
      <c r="G17" s="8">
        <f>+G11-G16</f>
        <v>-97.975999999999885</v>
      </c>
      <c r="H17" s="8">
        <f>+H11-H16</f>
        <v>-190.20799999999997</v>
      </c>
      <c r="I17" s="8">
        <f>+I11-I16</f>
        <v>-345.36599999999999</v>
      </c>
      <c r="J17" s="8">
        <f>+J11-J16</f>
        <v>-188.74899999999991</v>
      </c>
      <c r="K17" s="8">
        <f>+K11-K16</f>
        <v>-193</v>
      </c>
      <c r="L17" s="8">
        <f>+L11-L16</f>
        <v>-296</v>
      </c>
      <c r="M17" s="8">
        <f>+M11-M16</f>
        <v>122</v>
      </c>
      <c r="N17" s="8">
        <f>+N11-N16</f>
        <v>289</v>
      </c>
      <c r="O17" s="8">
        <f>+O11-O16</f>
        <v>86</v>
      </c>
    </row>
    <row r="18" spans="2:18" x14ac:dyDescent="0.2">
      <c r="B18" s="2" t="s">
        <v>41</v>
      </c>
      <c r="C18" s="2">
        <v>1250.645</v>
      </c>
      <c r="D18" s="2">
        <v>779.87400000000002</v>
      </c>
      <c r="E18" s="2">
        <v>1344.5530000000001</v>
      </c>
      <c r="F18" s="2">
        <v>-503.12299999999999</v>
      </c>
      <c r="G18" s="2">
        <v>-1554.8810000000001</v>
      </c>
      <c r="H18" s="2">
        <v>-1008.042</v>
      </c>
      <c r="I18" s="2">
        <v>188.233</v>
      </c>
      <c r="J18" s="2">
        <v>-425.85899999999998</v>
      </c>
      <c r="K18" s="2">
        <v>269</v>
      </c>
      <c r="L18" s="2">
        <v>335</v>
      </c>
      <c r="M18" s="2">
        <v>606</v>
      </c>
      <c r="N18" s="2">
        <v>393</v>
      </c>
      <c r="O18" s="2">
        <v>-342</v>
      </c>
    </row>
    <row r="19" spans="2:18" x14ac:dyDescent="0.2">
      <c r="B19" s="2" t="s">
        <v>30</v>
      </c>
      <c r="C19" s="2">
        <f>+C17+C18</f>
        <v>1469.5439999999999</v>
      </c>
      <c r="D19" s="2">
        <f>+D17+D18</f>
        <v>919.31499999999994</v>
      </c>
      <c r="E19" s="2">
        <f>+E17+E18</f>
        <v>1340.4520000000002</v>
      </c>
      <c r="F19" s="2">
        <f>+F17+F18</f>
        <v>-488.71899999999977</v>
      </c>
      <c r="G19" s="2">
        <f>+G17+G18</f>
        <v>-1652.857</v>
      </c>
      <c r="H19" s="2">
        <f>+H17+H18</f>
        <v>-1198.25</v>
      </c>
      <c r="I19" s="2">
        <f>+I17+I18</f>
        <v>-157.13299999999998</v>
      </c>
      <c r="J19" s="2">
        <f>+J17+J18</f>
        <v>-614.60799999999995</v>
      </c>
      <c r="K19" s="2">
        <f>+K17+K18</f>
        <v>76</v>
      </c>
      <c r="L19" s="2">
        <f>+L17+L18</f>
        <v>39</v>
      </c>
      <c r="M19" s="2">
        <f>+M17+M18</f>
        <v>728</v>
      </c>
      <c r="N19" s="2">
        <f>+N17+N18</f>
        <v>682</v>
      </c>
      <c r="O19" s="2">
        <f>+O17+O18</f>
        <v>-256</v>
      </c>
    </row>
    <row r="20" spans="2:18" x14ac:dyDescent="0.2">
      <c r="B20" s="2" t="s">
        <v>31</v>
      </c>
      <c r="C20" s="2">
        <v>111.099</v>
      </c>
      <c r="D20" s="2">
        <v>40.222000000000001</v>
      </c>
      <c r="E20" s="2">
        <v>192.02</v>
      </c>
      <c r="F20" s="2">
        <v>-117.408</v>
      </c>
      <c r="G20" s="2">
        <v>-178.44900000000001</v>
      </c>
      <c r="H20" s="2">
        <v>5.657</v>
      </c>
      <c r="I20" s="2">
        <v>1.276</v>
      </c>
      <c r="J20" s="2">
        <v>9.0860000000000003</v>
      </c>
      <c r="K20" s="2">
        <v>8</v>
      </c>
      <c r="L20" s="2">
        <v>10</v>
      </c>
      <c r="M20" s="2">
        <v>10</v>
      </c>
      <c r="N20" s="2">
        <v>25</v>
      </c>
      <c r="O20" s="2">
        <v>17</v>
      </c>
    </row>
    <row r="21" spans="2:18" s="8" customFormat="1" x14ac:dyDescent="0.2">
      <c r="B21" s="8" t="s">
        <v>32</v>
      </c>
      <c r="C21" s="8">
        <f>+C19-C20</f>
        <v>1358.4449999999999</v>
      </c>
      <c r="D21" s="8">
        <f>+D19-D20</f>
        <v>879.09299999999996</v>
      </c>
      <c r="E21" s="8">
        <f>+E19-E20</f>
        <v>1148.4320000000002</v>
      </c>
      <c r="F21" s="8">
        <f>+F19-F20</f>
        <v>-371.31099999999975</v>
      </c>
      <c r="G21" s="8">
        <f>+G19-G20</f>
        <v>-1474.4079999999999</v>
      </c>
      <c r="H21" s="8">
        <f>+H19-H20</f>
        <v>-1203.9069999999999</v>
      </c>
      <c r="I21" s="8">
        <f>+I19-I20</f>
        <v>-158.40899999999999</v>
      </c>
      <c r="J21" s="8">
        <f>+J19-J20</f>
        <v>-623.69399999999996</v>
      </c>
      <c r="K21" s="8">
        <f>+K19-K20</f>
        <v>68</v>
      </c>
      <c r="L21" s="8">
        <f>+L19-L20</f>
        <v>29</v>
      </c>
      <c r="M21" s="8">
        <f>+M19-M20</f>
        <v>718</v>
      </c>
      <c r="N21" s="8">
        <f>+N19-N20</f>
        <v>657</v>
      </c>
      <c r="O21" s="8">
        <f>+O19-O20</f>
        <v>-273</v>
      </c>
    </row>
    <row r="22" spans="2:18" x14ac:dyDescent="0.2">
      <c r="B22" s="2" t="s">
        <v>33</v>
      </c>
      <c r="C22" s="10">
        <f>+C21/C23</f>
        <v>10.7239120823698</v>
      </c>
      <c r="D22" s="10">
        <f>+D21/D23</f>
        <v>0.6896195846555494</v>
      </c>
      <c r="E22" s="10">
        <f>+E21/E23</f>
        <v>0.8998897549796514</v>
      </c>
      <c r="F22" s="10">
        <f>+F21/F23</f>
        <v>-0.29531293873360615</v>
      </c>
      <c r="G22" s="10">
        <f>+G21/G23</f>
        <v>-1.1700437476856564</v>
      </c>
      <c r="H22" s="10">
        <f>+H21/H23</f>
        <v>-0.95395869419321089</v>
      </c>
      <c r="I22" s="10">
        <f>+I21/I23</f>
        <v>-0.12478797234804595</v>
      </c>
      <c r="J22" s="10">
        <f>+J21/J23</f>
        <v>-0.48980993749720042</v>
      </c>
      <c r="K22" s="10">
        <f>+K21/K23</f>
        <v>5.2644534270144469E-2</v>
      </c>
      <c r="L22" s="10">
        <f>+L21/L23</f>
        <v>2.2649036954123399E-2</v>
      </c>
      <c r="M22" s="10">
        <f>+M21/M23</f>
        <v>0.5540849461982128</v>
      </c>
      <c r="N22" s="10">
        <f>+N21/N23</f>
        <v>0.50643817195904783</v>
      </c>
      <c r="O22" s="10">
        <f>+O21/O23</f>
        <v>-0.21205914008764981</v>
      </c>
    </row>
    <row r="23" spans="2:18" x14ac:dyDescent="0.2">
      <c r="B23" s="2" t="s">
        <v>34</v>
      </c>
      <c r="C23" s="2">
        <v>126.67438799999999</v>
      </c>
      <c r="D23" s="2">
        <v>1274.75063</v>
      </c>
      <c r="E23" s="2">
        <v>1276.1918820000001</v>
      </c>
      <c r="F23" s="2">
        <v>1257.34755</v>
      </c>
      <c r="G23" s="2">
        <v>1260.13066</v>
      </c>
      <c r="H23" s="2">
        <v>1262.011665</v>
      </c>
      <c r="I23" s="2">
        <v>1269.4252260000001</v>
      </c>
      <c r="J23" s="2">
        <v>1273.338804</v>
      </c>
      <c r="K23" s="2">
        <v>1291.682051</v>
      </c>
      <c r="L23" s="2">
        <v>1280.4076419999999</v>
      </c>
      <c r="M23" s="2">
        <v>1295.8301879999999</v>
      </c>
      <c r="N23" s="2">
        <v>1297.295576</v>
      </c>
      <c r="O23" s="2">
        <v>1287.3767190000001</v>
      </c>
    </row>
    <row r="25" spans="2:18" s="7" customFormat="1" x14ac:dyDescent="0.2">
      <c r="B25" s="7" t="s">
        <v>35</v>
      </c>
      <c r="C25" s="7">
        <f>+C11/C7</f>
        <v>0.66628028001905626</v>
      </c>
      <c r="D25" s="7">
        <f>+D11/D7</f>
        <v>0.55461411681681538</v>
      </c>
      <c r="E25" s="7">
        <f>+E11/E7</f>
        <v>0.54185932689056182</v>
      </c>
      <c r="F25" s="7">
        <f>+F11/F7</f>
        <v>0.501918082584071</v>
      </c>
      <c r="G25" s="7">
        <f>+G11/G7</f>
        <v>0.52976471868683139</v>
      </c>
      <c r="H25" s="7">
        <f>+H11/H7</f>
        <v>0.50626262969446278</v>
      </c>
      <c r="I25" s="7">
        <f>+I11/I7</f>
        <v>0.48479871175523354</v>
      </c>
      <c r="J25" s="7">
        <f>+J11/J7</f>
        <v>0.46024099441030381</v>
      </c>
      <c r="K25" s="7">
        <f>+K11/K7</f>
        <v>0.47546419098143233</v>
      </c>
      <c r="L25" s="7">
        <f>+L11/L7</f>
        <v>0.49291617473435656</v>
      </c>
      <c r="M25" s="7">
        <f>+M11/M7</f>
        <v>0.52567094515752621</v>
      </c>
      <c r="N25" s="7">
        <f>+N11/N7</f>
        <v>0.49533582089552236</v>
      </c>
      <c r="O25" s="7">
        <f>+O11/O7</f>
        <v>0.51423965609887157</v>
      </c>
    </row>
    <row r="26" spans="2:18" s="7" customFormat="1" x14ac:dyDescent="0.2">
      <c r="B26" s="7" t="s">
        <v>36</v>
      </c>
      <c r="C26" s="7">
        <f>+C17/C7</f>
        <v>0.22141269836453245</v>
      </c>
      <c r="D26" s="7">
        <f>+D17/D7</f>
        <v>0.12456261808306789</v>
      </c>
      <c r="E26" s="7">
        <f>+E17/E7</f>
        <v>-3.6494206844999723E-3</v>
      </c>
      <c r="F26" s="7">
        <f>+F17/F7</f>
        <v>1.0437499637687623E-2</v>
      </c>
      <c r="G26" s="7">
        <f>+G17/G7</f>
        <v>-8.1400903771363525E-2</v>
      </c>
      <c r="H26" s="7">
        <f>+H17/H7</f>
        <v>-0.14687161937295712</v>
      </c>
      <c r="I26" s="7">
        <f>+I17/I7</f>
        <v>-0.2527931488801054</v>
      </c>
      <c r="J26" s="7">
        <f>+J17/J7</f>
        <v>-0.10879042846652805</v>
      </c>
      <c r="K26" s="7">
        <f>+K17/K7</f>
        <v>-0.12798408488063662</v>
      </c>
      <c r="L26" s="7">
        <f>+L17/L7</f>
        <v>-0.17473435655253838</v>
      </c>
      <c r="M26" s="7">
        <f>+M17/M7</f>
        <v>7.1178529754959155E-2</v>
      </c>
      <c r="N26" s="7">
        <f>+N17/N7</f>
        <v>0.13479477611940299</v>
      </c>
      <c r="O26" s="7">
        <f>+O17/O7</f>
        <v>4.6211714132186998E-2</v>
      </c>
    </row>
    <row r="27" spans="2:18" s="7" customFormat="1" x14ac:dyDescent="0.2">
      <c r="B27" s="7" t="s">
        <v>37</v>
      </c>
      <c r="C27" s="7">
        <f>+C21/C7</f>
        <v>1.3740445275209454</v>
      </c>
      <c r="D27" s="7">
        <f>+D21/D7</f>
        <v>0.78529360531334724</v>
      </c>
      <c r="E27" s="7">
        <f>+E21/E7</f>
        <v>1.0219730542652217</v>
      </c>
      <c r="F27" s="7">
        <f>+F21/F7</f>
        <v>-0.26906126270267744</v>
      </c>
      <c r="G27" s="7">
        <f>+G21/G7</f>
        <v>-1.2249749298576047</v>
      </c>
      <c r="H27" s="7">
        <f>+H21/H7</f>
        <v>-0.9296126906567479</v>
      </c>
      <c r="I27" s="7">
        <f>+I21/I7</f>
        <v>-0.11594861660079051</v>
      </c>
      <c r="J27" s="7">
        <f>+J21/J7</f>
        <v>-0.35948236807613693</v>
      </c>
      <c r="K27" s="7">
        <f>+K21/K7</f>
        <v>4.5092838196286469E-2</v>
      </c>
      <c r="L27" s="7">
        <f>+L21/L7</f>
        <v>1.7119244391971666E-2</v>
      </c>
      <c r="M27" s="7">
        <f>+M21/M7</f>
        <v>0.41890315052508753</v>
      </c>
      <c r="N27" s="7">
        <f>+N21/N7</f>
        <v>0.30643656716417911</v>
      </c>
      <c r="O27" s="7">
        <f>+O21/O7</f>
        <v>-0.14669532509403546</v>
      </c>
    </row>
    <row r="28" spans="2:18" s="7" customFormat="1" x14ac:dyDescent="0.2">
      <c r="B28" s="7" t="s">
        <v>38</v>
      </c>
      <c r="C28" s="7">
        <f>+C20/C19</f>
        <v>7.5601002760039865E-2</v>
      </c>
      <c r="D28" s="7">
        <f t="shared" ref="D28:J28" si="3">+D20/D19</f>
        <v>4.3752141540168502E-2</v>
      </c>
      <c r="E28" s="7">
        <f t="shared" si="3"/>
        <v>0.14325018725027078</v>
      </c>
      <c r="F28" s="7">
        <f t="shared" si="3"/>
        <v>0.24023620935547843</v>
      </c>
      <c r="G28" s="7">
        <f t="shared" si="3"/>
        <v>0.10796396784476819</v>
      </c>
      <c r="H28" s="7">
        <f t="shared" si="3"/>
        <v>-4.7210515334863345E-3</v>
      </c>
      <c r="I28" s="7">
        <f t="shared" si="3"/>
        <v>-8.1205093774064027E-3</v>
      </c>
      <c r="J28" s="7">
        <f t="shared" si="3"/>
        <v>-1.4783406659203918E-2</v>
      </c>
      <c r="K28" s="7">
        <f>+K20/K19</f>
        <v>0.10526315789473684</v>
      </c>
      <c r="L28" s="7">
        <f>+L20/L19</f>
        <v>0.25641025641025639</v>
      </c>
      <c r="M28" s="7">
        <f>+M20/M19</f>
        <v>1.3736263736263736E-2</v>
      </c>
      <c r="N28" s="7">
        <f>+N20/N19</f>
        <v>3.6656891495601175E-2</v>
      </c>
      <c r="O28" s="7">
        <f>+O20/O19</f>
        <v>-6.640625E-2</v>
      </c>
    </row>
    <row r="29" spans="2:18" s="7" customFormat="1" x14ac:dyDescent="0.2"/>
    <row r="30" spans="2:18" s="9" customFormat="1" x14ac:dyDescent="0.2">
      <c r="B30" s="9" t="s">
        <v>39</v>
      </c>
      <c r="G30" s="9">
        <f>+G7/C7-1</f>
        <v>0.2174446491012465</v>
      </c>
      <c r="H30" s="9">
        <f>+H7/D7-1</f>
        <v>0.15687952512182401</v>
      </c>
      <c r="I30" s="9">
        <f>+I7/E7-1</f>
        <v>0.2157616530514177</v>
      </c>
      <c r="J30" s="9">
        <f>+J7/F7-1</f>
        <v>0.25720857028573407</v>
      </c>
      <c r="K30" s="9">
        <f>+K7/G7-1</f>
        <v>0.25288400105348607</v>
      </c>
      <c r="L30" s="9">
        <f>+L7/H7-1</f>
        <v>0.30804447351209929</v>
      </c>
      <c r="M30" s="9">
        <f>+M7/I7-1</f>
        <v>0.25457473283560228</v>
      </c>
      <c r="N30" s="9">
        <f>+N7/J7-1</f>
        <v>0.2357505397762969</v>
      </c>
      <c r="O30" s="9">
        <f>+O7/K7-1</f>
        <v>0.23408488063660471</v>
      </c>
    </row>
    <row r="31" spans="2:18" s="7" customFormat="1" x14ac:dyDescent="0.2">
      <c r="B31" s="7" t="s">
        <v>40</v>
      </c>
      <c r="D31" s="7">
        <f>+D7/C7-1</f>
        <v>0.13230000192181834</v>
      </c>
      <c r="E31" s="7">
        <f>+E7/D7-1</f>
        <v>3.8367226616762284E-3</v>
      </c>
      <c r="F31" s="7">
        <f>+F7/E7-1</f>
        <v>0.22806343104276805</v>
      </c>
      <c r="G31" s="7">
        <f>+G7/F7-1</f>
        <v>-0.12782458855788015</v>
      </c>
      <c r="H31" s="7">
        <f>+H7/G7-1</f>
        <v>7.5970632000219362E-2</v>
      </c>
      <c r="I31" s="7">
        <f>+I7/H7-1</f>
        <v>5.4929374092225647E-2</v>
      </c>
      <c r="J31" s="7">
        <f>+J7/I7-1</f>
        <v>0.26992973210364513</v>
      </c>
      <c r="K31" s="7">
        <f>+K7/J7-1</f>
        <v>-0.13082471362749271</v>
      </c>
      <c r="L31" s="7">
        <f>+L7/K7-1</f>
        <v>0.12334217506631306</v>
      </c>
      <c r="M31" s="7">
        <f>+M7/L7-1</f>
        <v>1.1806375442739103E-2</v>
      </c>
      <c r="N31" s="7">
        <f>+N7/M7-1</f>
        <v>0.25087514585764303</v>
      </c>
      <c r="O31" s="7">
        <f>+O7/N7-1</f>
        <v>-0.13199626865671643</v>
      </c>
      <c r="P31" s="7">
        <f t="shared" ref="P31:R31" si="4">+P7/O7-1</f>
        <v>9.2315959161741068E-2</v>
      </c>
      <c r="Q31" s="7">
        <f t="shared" si="4"/>
        <v>1.1806375442738881E-2</v>
      </c>
      <c r="R31" s="7">
        <f t="shared" si="4"/>
        <v>0.25087514585764303</v>
      </c>
    </row>
    <row r="33" spans="2:15" x14ac:dyDescent="0.2">
      <c r="B33" s="2" t="s">
        <v>47</v>
      </c>
      <c r="J33" s="2">
        <f t="shared" ref="J33:N33" si="5">+J34+J41-J46</f>
        <v>6094</v>
      </c>
      <c r="K33" s="2">
        <f t="shared" si="5"/>
        <v>6226</v>
      </c>
      <c r="L33" s="2">
        <f t="shared" si="5"/>
        <v>6998</v>
      </c>
      <c r="M33" s="2">
        <f t="shared" si="5"/>
        <v>7683</v>
      </c>
      <c r="N33" s="2">
        <f t="shared" si="5"/>
        <v>8469</v>
      </c>
      <c r="O33" s="2">
        <f>+O34+O41-O46</f>
        <v>8290</v>
      </c>
    </row>
    <row r="34" spans="2:15" x14ac:dyDescent="0.2">
      <c r="B34" s="2" t="s">
        <v>44</v>
      </c>
      <c r="J34" s="2">
        <f>1649+3404</f>
        <v>5053</v>
      </c>
      <c r="K34" s="2">
        <f>1738+3125</f>
        <v>4863</v>
      </c>
      <c r="L34" s="2">
        <f>1611+3169</f>
        <v>4780</v>
      </c>
      <c r="M34" s="2">
        <f>1287+3631</f>
        <v>4918</v>
      </c>
      <c r="N34" s="2">
        <f>1413+3595</f>
        <v>5008</v>
      </c>
      <c r="O34" s="2">
        <f>1623+3554</f>
        <v>5177</v>
      </c>
    </row>
    <row r="35" spans="2:15" x14ac:dyDescent="0.2">
      <c r="B35" s="2" t="s">
        <v>48</v>
      </c>
      <c r="J35" s="2">
        <f>273+580</f>
        <v>853</v>
      </c>
      <c r="K35" s="2">
        <f>276+629</f>
        <v>905</v>
      </c>
      <c r="L35" s="2">
        <f>262+719</f>
        <v>981</v>
      </c>
      <c r="M35" s="2">
        <f>248+833</f>
        <v>1081</v>
      </c>
      <c r="N35" s="2">
        <f>282+816</f>
        <v>1098</v>
      </c>
      <c r="O35" s="2">
        <f>265+815</f>
        <v>1080</v>
      </c>
    </row>
    <row r="36" spans="2:15" x14ac:dyDescent="0.2">
      <c r="B36" s="2" t="s">
        <v>49</v>
      </c>
      <c r="J36" s="2">
        <v>144</v>
      </c>
      <c r="K36" s="2">
        <v>159</v>
      </c>
      <c r="L36" s="2">
        <v>148</v>
      </c>
      <c r="M36" s="2">
        <v>162</v>
      </c>
      <c r="N36" s="2">
        <v>169</v>
      </c>
      <c r="O36" s="2">
        <v>183</v>
      </c>
    </row>
    <row r="37" spans="2:15" x14ac:dyDescent="0.2">
      <c r="B37" s="2" t="s">
        <v>50</v>
      </c>
      <c r="J37" s="2">
        <v>131</v>
      </c>
      <c r="K37" s="2">
        <v>137</v>
      </c>
      <c r="L37" s="2">
        <v>69</v>
      </c>
      <c r="M37" s="2">
        <v>52</v>
      </c>
      <c r="N37" s="2">
        <v>49</v>
      </c>
      <c r="O37" s="2">
        <v>52</v>
      </c>
    </row>
    <row r="38" spans="2:15" x14ac:dyDescent="0.2">
      <c r="B38" s="2" t="s">
        <v>51</v>
      </c>
      <c r="J38" s="2">
        <v>355</v>
      </c>
      <c r="K38" s="2">
        <v>345</v>
      </c>
      <c r="L38" s="2">
        <v>101</v>
      </c>
      <c r="M38" s="2">
        <v>72</v>
      </c>
      <c r="N38" s="2">
        <v>98</v>
      </c>
      <c r="O38" s="2">
        <v>96</v>
      </c>
    </row>
    <row r="39" spans="2:15" x14ac:dyDescent="0.2">
      <c r="B39" s="2" t="s">
        <v>52</v>
      </c>
      <c r="J39" s="2">
        <f>390+1836</f>
        <v>2226</v>
      </c>
      <c r="K39" s="2">
        <f>372+1865</f>
        <v>2237</v>
      </c>
      <c r="L39" s="2">
        <f>26+427</f>
        <v>453</v>
      </c>
      <c r="M39" s="2">
        <f>33+427</f>
        <v>460</v>
      </c>
      <c r="N39" s="2">
        <f>29+427</f>
        <v>456</v>
      </c>
      <c r="O39" s="2">
        <f>25+427</f>
        <v>452</v>
      </c>
    </row>
    <row r="40" spans="2:15" x14ac:dyDescent="0.2">
      <c r="B40" s="2" t="s">
        <v>53</v>
      </c>
      <c r="J40" s="2">
        <v>41</v>
      </c>
      <c r="K40" s="2">
        <v>41</v>
      </c>
      <c r="L40" s="2">
        <v>39</v>
      </c>
      <c r="M40" s="2">
        <v>39</v>
      </c>
      <c r="N40" s="2">
        <v>44</v>
      </c>
      <c r="O40" s="2">
        <v>43</v>
      </c>
    </row>
    <row r="41" spans="2:15" x14ac:dyDescent="0.2">
      <c r="B41" s="2" t="s">
        <v>54</v>
      </c>
      <c r="J41" s="2">
        <v>1954</v>
      </c>
      <c r="K41" s="2">
        <v>2277</v>
      </c>
      <c r="L41" s="2">
        <f>2294+838</f>
        <v>3132</v>
      </c>
      <c r="M41" s="2">
        <f>2852+828</f>
        <v>3680</v>
      </c>
      <c r="N41" s="2">
        <f>3597+780</f>
        <v>4377</v>
      </c>
      <c r="O41" s="2">
        <f>3294+735</f>
        <v>4029</v>
      </c>
    </row>
    <row r="42" spans="2:15" s="8" customFormat="1" x14ac:dyDescent="0.2">
      <c r="B42" s="8" t="s">
        <v>55</v>
      </c>
      <c r="J42" s="8">
        <f>SUM(J34:J41)</f>
        <v>10757</v>
      </c>
      <c r="K42" s="8">
        <f>SUM(K34:K41)</f>
        <v>10964</v>
      </c>
      <c r="L42" s="8">
        <f>SUM(L34:L41)</f>
        <v>9703</v>
      </c>
      <c r="M42" s="8">
        <f>SUM(M34:M41)</f>
        <v>10464</v>
      </c>
      <c r="N42" s="8">
        <f>SUM(N34:N41)</f>
        <v>11299</v>
      </c>
      <c r="O42" s="8">
        <f>SUM(O34:O41)</f>
        <v>11112</v>
      </c>
    </row>
    <row r="43" spans="2:15" x14ac:dyDescent="0.2">
      <c r="B43" s="2" t="s">
        <v>56</v>
      </c>
      <c r="J43" s="2">
        <v>542</v>
      </c>
      <c r="K43" s="2">
        <v>535</v>
      </c>
      <c r="L43" s="2">
        <v>554</v>
      </c>
      <c r="M43" s="2">
        <v>533</v>
      </c>
      <c r="N43" s="2">
        <v>579</v>
      </c>
      <c r="O43" s="2">
        <v>589</v>
      </c>
    </row>
    <row r="44" spans="2:15" x14ac:dyDescent="0.2">
      <c r="B44" s="2" t="s">
        <v>57</v>
      </c>
      <c r="J44" s="2">
        <f>296+268</f>
        <v>564</v>
      </c>
      <c r="K44" s="2">
        <f>324+232</f>
        <v>556</v>
      </c>
      <c r="L44" s="2">
        <f>310+236</f>
        <v>546</v>
      </c>
      <c r="M44" s="2">
        <f>304+216</f>
        <v>520</v>
      </c>
      <c r="N44" s="2">
        <f>302+196</f>
        <v>498</v>
      </c>
      <c r="O44" s="2">
        <f>296+183</f>
        <v>479</v>
      </c>
    </row>
    <row r="45" spans="2:15" x14ac:dyDescent="0.2">
      <c r="B45" s="2" t="s">
        <v>51</v>
      </c>
      <c r="J45" s="2">
        <f>18+465</f>
        <v>483</v>
      </c>
      <c r="K45" s="2">
        <f>24+461</f>
        <v>485</v>
      </c>
      <c r="L45" s="2">
        <f>16+204</f>
        <v>220</v>
      </c>
      <c r="M45" s="2">
        <f>15+192</f>
        <v>207</v>
      </c>
      <c r="N45" s="2">
        <f>17+217</f>
        <v>234</v>
      </c>
      <c r="O45" s="2">
        <f>17+212</f>
        <v>229</v>
      </c>
    </row>
    <row r="46" spans="2:15" x14ac:dyDescent="0.2">
      <c r="B46" s="2" t="s">
        <v>45</v>
      </c>
      <c r="J46" s="2">
        <v>913</v>
      </c>
      <c r="K46" s="2">
        <v>914</v>
      </c>
      <c r="L46" s="2">
        <v>914</v>
      </c>
      <c r="M46" s="2">
        <v>915</v>
      </c>
      <c r="N46" s="2">
        <v>916</v>
      </c>
      <c r="O46" s="2">
        <v>916</v>
      </c>
    </row>
    <row r="47" spans="2:15" x14ac:dyDescent="0.2">
      <c r="B47" s="2" t="s">
        <v>53</v>
      </c>
      <c r="J47" s="2">
        <v>16</v>
      </c>
      <c r="K47" s="2">
        <v>17</v>
      </c>
      <c r="L47" s="2">
        <v>6</v>
      </c>
      <c r="M47" s="2">
        <v>5</v>
      </c>
      <c r="N47" s="2">
        <v>6</v>
      </c>
      <c r="O47" s="2">
        <v>6</v>
      </c>
    </row>
    <row r="48" spans="2:15" s="8" customFormat="1" x14ac:dyDescent="0.2">
      <c r="B48" s="8" t="s">
        <v>58</v>
      </c>
      <c r="J48" s="8">
        <f>SUM(J43:J47)</f>
        <v>2518</v>
      </c>
      <c r="K48" s="8">
        <f>SUM(K43:K47)</f>
        <v>2507</v>
      </c>
      <c r="L48" s="8">
        <f>SUM(L43:L47)</f>
        <v>2240</v>
      </c>
      <c r="M48" s="8">
        <f>SUM(M43:M47)</f>
        <v>2180</v>
      </c>
      <c r="N48" s="8">
        <f>SUM(N43:N47)</f>
        <v>2233</v>
      </c>
      <c r="O48" s="8">
        <f>SUM(O43:O47)</f>
        <v>2219</v>
      </c>
    </row>
    <row r="49" spans="2:15" x14ac:dyDescent="0.2">
      <c r="B49" s="2" t="s">
        <v>59</v>
      </c>
      <c r="J49" s="2">
        <f>+J42-J48</f>
        <v>8239</v>
      </c>
      <c r="K49" s="2">
        <f>+K42-K48</f>
        <v>8457</v>
      </c>
      <c r="L49" s="2">
        <f>+L42-L48</f>
        <v>7463</v>
      </c>
      <c r="M49" s="2">
        <f>+M42-M48</f>
        <v>8284</v>
      </c>
      <c r="N49" s="2">
        <f>+N42-N48</f>
        <v>9066</v>
      </c>
      <c r="O49" s="2">
        <f>+O42-O48</f>
        <v>8893</v>
      </c>
    </row>
    <row r="50" spans="2:15" x14ac:dyDescent="0.2">
      <c r="B50" s="2" t="s">
        <v>60</v>
      </c>
      <c r="J50" s="2">
        <f>+J49+J48</f>
        <v>10757</v>
      </c>
      <c r="K50" s="2">
        <f>+K49+K48</f>
        <v>10964</v>
      </c>
      <c r="L50" s="2">
        <f>+L49+L48</f>
        <v>9703</v>
      </c>
      <c r="M50" s="2">
        <f>+M49+M48</f>
        <v>10464</v>
      </c>
      <c r="N50" s="2">
        <f>+N49+N48</f>
        <v>11299</v>
      </c>
      <c r="O50" s="2">
        <f>+O49+O48</f>
        <v>11112</v>
      </c>
    </row>
    <row r="52" spans="2:15" x14ac:dyDescent="0.2">
      <c r="B52" s="2" t="s">
        <v>61</v>
      </c>
    </row>
    <row r="53" spans="2:15" x14ac:dyDescent="0.2">
      <c r="B53" s="2" t="s">
        <v>62</v>
      </c>
    </row>
    <row r="54" spans="2:15" x14ac:dyDescent="0.2">
      <c r="B54" s="2" t="s">
        <v>63</v>
      </c>
    </row>
    <row r="55" spans="2:15" x14ac:dyDescent="0.2">
      <c r="B55" s="2" t="s">
        <v>64</v>
      </c>
    </row>
    <row r="56" spans="2:15" x14ac:dyDescent="0.2">
      <c r="B56" s="2" t="s">
        <v>65</v>
      </c>
    </row>
    <row r="57" spans="2:15" x14ac:dyDescent="0.2">
      <c r="B57" s="2" t="s">
        <v>53</v>
      </c>
    </row>
    <row r="58" spans="2:15" x14ac:dyDescent="0.2">
      <c r="B58" s="2" t="s">
        <v>66</v>
      </c>
    </row>
    <row r="59" spans="2:15" x14ac:dyDescent="0.2">
      <c r="B59" s="2" t="s">
        <v>54</v>
      </c>
    </row>
    <row r="60" spans="2:15" x14ac:dyDescent="0.2">
      <c r="B60" s="2" t="s">
        <v>67</v>
      </c>
    </row>
    <row r="61" spans="2:15" x14ac:dyDescent="0.2">
      <c r="B61" s="2" t="s">
        <v>68</v>
      </c>
    </row>
    <row r="62" spans="2:15" x14ac:dyDescent="0.2">
      <c r="B62" s="2" t="s">
        <v>69</v>
      </c>
    </row>
    <row r="64" spans="2:15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2" t="s">
        <v>45</v>
      </c>
    </row>
    <row r="67" spans="2:2" x14ac:dyDescent="0.2">
      <c r="B67" s="2" t="s">
        <v>54</v>
      </c>
    </row>
    <row r="68" spans="2:2" x14ac:dyDescent="0.2">
      <c r="B68" s="2" t="s">
        <v>72</v>
      </c>
    </row>
    <row r="69" spans="2:2" x14ac:dyDescent="0.2">
      <c r="B69" s="2" t="s">
        <v>73</v>
      </c>
    </row>
    <row r="70" spans="2:2" x14ac:dyDescent="0.2">
      <c r="B70" s="2" t="s">
        <v>74</v>
      </c>
    </row>
    <row r="72" spans="2:2" x14ac:dyDescent="0.2">
      <c r="B72" s="2" t="s">
        <v>75</v>
      </c>
    </row>
    <row r="73" spans="2:2" x14ac:dyDescent="0.2">
      <c r="B73" s="2" t="s">
        <v>76</v>
      </c>
    </row>
    <row r="75" spans="2:2" x14ac:dyDescent="0.2">
      <c r="B75" s="2" t="s">
        <v>67</v>
      </c>
    </row>
    <row r="76" spans="2:2" x14ac:dyDescent="0.2">
      <c r="B76" s="2" t="s">
        <v>77</v>
      </c>
    </row>
    <row r="78" spans="2:2" x14ac:dyDescent="0.2">
      <c r="B78" s="2" t="s">
        <v>78</v>
      </c>
    </row>
    <row r="79" spans="2:2" x14ac:dyDescent="0.2">
      <c r="B79" s="11" t="s">
        <v>79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2024-05-08T14:14:50Z</dcterms:created>
  <dcterms:modified xsi:type="dcterms:W3CDTF">2024-05-08T21:34:06Z</dcterms:modified>
</cp:coreProperties>
</file>