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denni\Desktop\CompanyResearchModels\"/>
    </mc:Choice>
  </mc:AlternateContent>
  <xr:revisionPtr revIDLastSave="0" documentId="13_ncr:1_{C4E22E19-CC64-49FB-87C3-4DE10605EC1C}" xr6:coauthVersionLast="47" xr6:coauthVersionMax="47" xr10:uidLastSave="{00000000-0000-0000-0000-000000000000}"/>
  <bookViews>
    <workbookView xWindow="90" yWindow="60" windowWidth="14220" windowHeight="15495" activeTab="1" xr2:uid="{F0666B6D-95FE-45D9-A639-78847AB0B6EA}"/>
  </bookViews>
  <sheets>
    <sheet name="Main" sheetId="1" r:id="rId1"/>
    <sheet name="Mod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81" i="2" l="1"/>
  <c r="AK79" i="2"/>
  <c r="AM81" i="2"/>
  <c r="AM85" i="2" s="1"/>
  <c r="AN93" i="2"/>
  <c r="AN90" i="2"/>
  <c r="AN89" i="2"/>
  <c r="AN87" i="2"/>
  <c r="AN84" i="2"/>
  <c r="AN83" i="2"/>
  <c r="AN81" i="2"/>
  <c r="AM91" i="2"/>
  <c r="AL91" i="2"/>
  <c r="AK91" i="2"/>
  <c r="AJ91" i="2"/>
  <c r="AL85" i="2"/>
  <c r="AK85" i="2"/>
  <c r="AJ85" i="2"/>
  <c r="AM79" i="2"/>
  <c r="AL79" i="2"/>
  <c r="AL94" i="2" s="1"/>
  <c r="AJ79" i="2"/>
  <c r="AN78" i="2"/>
  <c r="AN77" i="2"/>
  <c r="AN76" i="2"/>
  <c r="AN75" i="2"/>
  <c r="AN74" i="2"/>
  <c r="AN73" i="2"/>
  <c r="AN72" i="2"/>
  <c r="AN71" i="2"/>
  <c r="AN70" i="2"/>
  <c r="AN69" i="2"/>
  <c r="AN68" i="2"/>
  <c r="AN67" i="2"/>
  <c r="AO93" i="2"/>
  <c r="AO90" i="2"/>
  <c r="AO89" i="2"/>
  <c r="AO87" i="2"/>
  <c r="AO84" i="2"/>
  <c r="AO83" i="2"/>
  <c r="AO81" i="2"/>
  <c r="AO78" i="2"/>
  <c r="AO77" i="2"/>
  <c r="AO76" i="2"/>
  <c r="AO75" i="2"/>
  <c r="AO74" i="2"/>
  <c r="AO73" i="2"/>
  <c r="AO72" i="2"/>
  <c r="AO71" i="2"/>
  <c r="AO70" i="2"/>
  <c r="AO69" i="2"/>
  <c r="AO68" i="2"/>
  <c r="AO67" i="2"/>
  <c r="P91" i="2"/>
  <c r="P94" i="2" s="1"/>
  <c r="O91" i="2"/>
  <c r="N91" i="2"/>
  <c r="M91" i="2"/>
  <c r="L91" i="2"/>
  <c r="K91" i="2"/>
  <c r="J91" i="2"/>
  <c r="P85" i="2"/>
  <c r="O85" i="2"/>
  <c r="N85" i="2"/>
  <c r="M85" i="2"/>
  <c r="L85" i="2"/>
  <c r="K85" i="2"/>
  <c r="J85" i="2"/>
  <c r="O79" i="2"/>
  <c r="N79" i="2"/>
  <c r="M79" i="2"/>
  <c r="L79" i="2"/>
  <c r="K79" i="2"/>
  <c r="J79" i="2"/>
  <c r="P79" i="2"/>
  <c r="AN79" i="2" l="1"/>
  <c r="AN96" i="2" s="1"/>
  <c r="AO79" i="2"/>
  <c r="AO85" i="2"/>
  <c r="AN91" i="2"/>
  <c r="AO91" i="2"/>
  <c r="AJ94" i="2"/>
  <c r="AK94" i="2"/>
  <c r="AO96" i="2"/>
  <c r="AO94" i="2"/>
  <c r="AJ96" i="2"/>
  <c r="AK96" i="2"/>
  <c r="AN85" i="2"/>
  <c r="AL96" i="2"/>
  <c r="M94" i="2"/>
  <c r="AM94" i="2"/>
  <c r="AM96" i="2"/>
  <c r="J94" i="2"/>
  <c r="N94" i="2"/>
  <c r="K94" i="2"/>
  <c r="O94" i="2"/>
  <c r="L94" i="2"/>
  <c r="O8" i="1"/>
  <c r="AG52" i="2"/>
  <c r="AF52" i="2"/>
  <c r="AE52" i="2"/>
  <c r="AD52" i="2"/>
  <c r="AC52" i="2"/>
  <c r="AB52" i="2"/>
  <c r="AA52" i="2"/>
  <c r="Z52" i="2"/>
  <c r="AH62" i="2"/>
  <c r="AG62" i="2"/>
  <c r="AF62" i="2"/>
  <c r="AE62" i="2"/>
  <c r="AD62" i="2"/>
  <c r="AC62" i="2"/>
  <c r="AB62" i="2"/>
  <c r="AA62" i="2"/>
  <c r="Z62" i="2"/>
  <c r="AH56" i="2"/>
  <c r="AH55" i="2"/>
  <c r="AH53" i="2"/>
  <c r="AH48" i="2"/>
  <c r="AH45" i="2"/>
  <c r="AH52" i="2" s="1"/>
  <c r="AH42" i="2"/>
  <c r="AI56" i="2"/>
  <c r="AI55" i="2"/>
  <c r="AI53" i="2"/>
  <c r="AI48" i="2"/>
  <c r="AI49" i="2"/>
  <c r="AI45" i="2"/>
  <c r="AI42" i="2"/>
  <c r="AN94" i="2" l="1"/>
  <c r="AI62" i="2"/>
  <c r="AI52" i="2"/>
  <c r="AP16" i="2"/>
  <c r="S11" i="2" l="1"/>
  <c r="S10" i="2"/>
  <c r="AJ56" i="2"/>
  <c r="AJ55" i="2"/>
  <c r="AJ62" i="2" s="1"/>
  <c r="AJ64" i="2" s="1"/>
  <c r="AJ53" i="2"/>
  <c r="AJ49" i="2"/>
  <c r="AJ41" i="2" s="1"/>
  <c r="AJ40" i="2" s="1"/>
  <c r="AJ48" i="2"/>
  <c r="AJ45" i="2"/>
  <c r="AJ42" i="2"/>
  <c r="AN41" i="2"/>
  <c r="AM41" i="2"/>
  <c r="AM40" i="2" s="1"/>
  <c r="AI41" i="2"/>
  <c r="AH41" i="2"/>
  <c r="AG41" i="2"/>
  <c r="AF41" i="2"/>
  <c r="AE41" i="2"/>
  <c r="AD41" i="2"/>
  <c r="AC41" i="2"/>
  <c r="AB41" i="2"/>
  <c r="AA41" i="2"/>
  <c r="Z41" i="2"/>
  <c r="AO41" i="2"/>
  <c r="AK56" i="2"/>
  <c r="AK55" i="2"/>
  <c r="AK53" i="2"/>
  <c r="AK49" i="2"/>
  <c r="AK41" i="2" s="1"/>
  <c r="AK40" i="2" s="1"/>
  <c r="AK48" i="2"/>
  <c r="AK45" i="2"/>
  <c r="AK42" i="2"/>
  <c r="AL56" i="2"/>
  <c r="AL55" i="2"/>
  <c r="AL53" i="2"/>
  <c r="AL62" i="2" s="1"/>
  <c r="AL64" i="2" s="1"/>
  <c r="AL49" i="2"/>
  <c r="AL48" i="2"/>
  <c r="AL45" i="2"/>
  <c r="AL42" i="2"/>
  <c r="AM56" i="2"/>
  <c r="AM55" i="2"/>
  <c r="AM53" i="2"/>
  <c r="AM49" i="2"/>
  <c r="AM48" i="2"/>
  <c r="AM45" i="2"/>
  <c r="AM42" i="2"/>
  <c r="AD64" i="2"/>
  <c r="AI64" i="2"/>
  <c r="AH64" i="2"/>
  <c r="AG64" i="2"/>
  <c r="AF64" i="2"/>
  <c r="AE64" i="2"/>
  <c r="AC64" i="2"/>
  <c r="AB64" i="2"/>
  <c r="AA64" i="2"/>
  <c r="Z64" i="2"/>
  <c r="AK52" i="2" l="1"/>
  <c r="AK62" i="2"/>
  <c r="AK64" i="2" s="1"/>
  <c r="AM62" i="2"/>
  <c r="AM64" i="2" s="1"/>
  <c r="AM52" i="2"/>
  <c r="AJ52" i="2"/>
  <c r="AL52" i="2"/>
  <c r="AL41" i="2"/>
  <c r="AL40" i="2" s="1"/>
  <c r="K41" i="2"/>
  <c r="AP23" i="2"/>
  <c r="J56" i="2"/>
  <c r="J55" i="2"/>
  <c r="J53" i="2"/>
  <c r="J45" i="2"/>
  <c r="J48" i="2"/>
  <c r="J42" i="2"/>
  <c r="K56" i="2"/>
  <c r="K55" i="2"/>
  <c r="K53" i="2"/>
  <c r="K62" i="2" s="1"/>
  <c r="K64" i="2" s="1"/>
  <c r="K48" i="2"/>
  <c r="K45" i="2"/>
  <c r="K42" i="2"/>
  <c r="K40" i="2"/>
  <c r="L40" i="2"/>
  <c r="AN40" i="2"/>
  <c r="AO40" i="2"/>
  <c r="J41" i="2"/>
  <c r="J40" i="2" s="1"/>
  <c r="L56" i="2"/>
  <c r="L55" i="2"/>
  <c r="L53" i="2"/>
  <c r="L48" i="2"/>
  <c r="L45" i="2"/>
  <c r="L42" i="2"/>
  <c r="L41" i="2"/>
  <c r="N56" i="2"/>
  <c r="N55" i="2"/>
  <c r="N53" i="2"/>
  <c r="N62" i="2" s="1"/>
  <c r="N64" i="2" s="1"/>
  <c r="N48" i="2"/>
  <c r="N45" i="2"/>
  <c r="N42" i="2"/>
  <c r="N41" i="2"/>
  <c r="N40" i="2" s="1"/>
  <c r="O56" i="2"/>
  <c r="O55" i="2"/>
  <c r="O53" i="2"/>
  <c r="O62" i="2" s="1"/>
  <c r="O64" i="2" s="1"/>
  <c r="O48" i="2"/>
  <c r="O41" i="2"/>
  <c r="O40" i="2" s="1"/>
  <c r="O45" i="2"/>
  <c r="O42" i="2"/>
  <c r="P56" i="2"/>
  <c r="P55" i="2"/>
  <c r="P53" i="2"/>
  <c r="P48" i="2"/>
  <c r="P45" i="2"/>
  <c r="P42" i="2"/>
  <c r="P52" i="2" s="1"/>
  <c r="P41" i="2"/>
  <c r="P40" i="2" s="1"/>
  <c r="J52" i="2" l="1"/>
  <c r="O52" i="2"/>
  <c r="P62" i="2"/>
  <c r="P64" i="2" s="1"/>
  <c r="N52" i="2"/>
  <c r="L62" i="2"/>
  <c r="L64" i="2" s="1"/>
  <c r="K52" i="2"/>
  <c r="J62" i="2"/>
  <c r="J64" i="2" s="1"/>
  <c r="L52" i="2"/>
  <c r="AN56" i="2" l="1"/>
  <c r="AN55" i="2"/>
  <c r="AN53" i="2"/>
  <c r="AN62" i="2" s="1"/>
  <c r="AN64" i="2" s="1"/>
  <c r="AN48" i="2"/>
  <c r="AN45" i="2"/>
  <c r="AN42" i="2"/>
  <c r="AN52" i="2" s="1"/>
  <c r="AO56" i="2"/>
  <c r="AO55" i="2"/>
  <c r="AO53" i="2"/>
  <c r="AO62" i="2" s="1"/>
  <c r="AO64" i="2" s="1"/>
  <c r="AO48" i="2"/>
  <c r="AO45" i="2"/>
  <c r="AO42" i="2"/>
  <c r="AQ15" i="2"/>
  <c r="AQ16" i="2" s="1"/>
  <c r="AP20" i="2"/>
  <c r="AQ20" i="2" s="1"/>
  <c r="AR20" i="2" s="1"/>
  <c r="AS20" i="2" s="1"/>
  <c r="AT20" i="2" s="1"/>
  <c r="AU20" i="2" s="1"/>
  <c r="AV20" i="2" s="1"/>
  <c r="AW20" i="2" s="1"/>
  <c r="AX20" i="2" s="1"/>
  <c r="AY20" i="2" s="1"/>
  <c r="AP19" i="2"/>
  <c r="AQ19" i="2" s="1"/>
  <c r="AR19" i="2" s="1"/>
  <c r="AS19" i="2" s="1"/>
  <c r="AT19" i="2" s="1"/>
  <c r="AU19" i="2" s="1"/>
  <c r="AV19" i="2" s="1"/>
  <c r="AW19" i="2" s="1"/>
  <c r="AX19" i="2" s="1"/>
  <c r="AY19" i="2" s="1"/>
  <c r="AO52" i="2" l="1"/>
  <c r="AR15" i="2"/>
  <c r="AQ38" i="2"/>
  <c r="AP17" i="2"/>
  <c r="AP30" i="2" s="1"/>
  <c r="P96" i="2"/>
  <c r="U21" i="2"/>
  <c r="U17" i="2"/>
  <c r="U30" i="2" s="1"/>
  <c r="V38" i="2"/>
  <c r="V18" i="2"/>
  <c r="V21" i="2" s="1"/>
  <c r="V17" i="2"/>
  <c r="V30" i="2" s="1"/>
  <c r="W18" i="2"/>
  <c r="W21" i="2" s="1"/>
  <c r="W38" i="2"/>
  <c r="W17" i="2"/>
  <c r="W30" i="2" s="1"/>
  <c r="X38" i="2"/>
  <c r="X23" i="2"/>
  <c r="X18" i="2"/>
  <c r="X21" i="2" s="1"/>
  <c r="X17" i="2"/>
  <c r="X30" i="2" s="1"/>
  <c r="Y23" i="2"/>
  <c r="Y18" i="2"/>
  <c r="Y21" i="2" s="1"/>
  <c r="Y38" i="2"/>
  <c r="Y17" i="2"/>
  <c r="Y30" i="2" s="1"/>
  <c r="Z23" i="2"/>
  <c r="Z40" i="2" s="1"/>
  <c r="Z18" i="2"/>
  <c r="Z21" i="2" s="1"/>
  <c r="Z38" i="2"/>
  <c r="Z17" i="2"/>
  <c r="Z30" i="2" s="1"/>
  <c r="AA23" i="2"/>
  <c r="AA40" i="2" s="1"/>
  <c r="AA18" i="2"/>
  <c r="AA21" i="2" s="1"/>
  <c r="AA38" i="2"/>
  <c r="AA17" i="2"/>
  <c r="AA30" i="2" s="1"/>
  <c r="AB23" i="2"/>
  <c r="AB40" i="2" s="1"/>
  <c r="AB18" i="2"/>
  <c r="AB21" i="2" s="1"/>
  <c r="AB38" i="2"/>
  <c r="AB17" i="2"/>
  <c r="AB30" i="2" s="1"/>
  <c r="AC23" i="2"/>
  <c r="AC40" i="2" s="1"/>
  <c r="AC18" i="2"/>
  <c r="AC21" i="2" s="1"/>
  <c r="AC38" i="2"/>
  <c r="AC17" i="2"/>
  <c r="AC30" i="2" s="1"/>
  <c r="AD38" i="2"/>
  <c r="AD23" i="2"/>
  <c r="AD40" i="2" s="1"/>
  <c r="AD18" i="2"/>
  <c r="AD21" i="2" s="1"/>
  <c r="AD17" i="2"/>
  <c r="AE23" i="2"/>
  <c r="AE40" i="2" s="1"/>
  <c r="AE18" i="2"/>
  <c r="AE21" i="2" s="1"/>
  <c r="AE38" i="2"/>
  <c r="AE17" i="2"/>
  <c r="AE30" i="2" s="1"/>
  <c r="AH12" i="2"/>
  <c r="AH7" i="2" s="1"/>
  <c r="AI12" i="2"/>
  <c r="AF23" i="2"/>
  <c r="AF40" i="2" s="1"/>
  <c r="AF18" i="2"/>
  <c r="AF21" i="2" s="1"/>
  <c r="AF38" i="2"/>
  <c r="AF17" i="2"/>
  <c r="AF30" i="2" s="1"/>
  <c r="AG23" i="2"/>
  <c r="AG40" i="2" s="1"/>
  <c r="AG18" i="2"/>
  <c r="AG21" i="2" s="1"/>
  <c r="AG38" i="2"/>
  <c r="AG17" i="2"/>
  <c r="AG30" i="2" s="1"/>
  <c r="AH23" i="2"/>
  <c r="AH40" i="2" s="1"/>
  <c r="AH18" i="2"/>
  <c r="AH21" i="2" s="1"/>
  <c r="AH38" i="2"/>
  <c r="AH17" i="2"/>
  <c r="AH30" i="2" s="1"/>
  <c r="AI23" i="2"/>
  <c r="AI40" i="2" s="1"/>
  <c r="AI18" i="2"/>
  <c r="AI21" i="2" s="1"/>
  <c r="AI38" i="2"/>
  <c r="H11" i="2"/>
  <c r="G11" i="2"/>
  <c r="F11" i="2"/>
  <c r="E11" i="2"/>
  <c r="D11" i="2"/>
  <c r="C11" i="2"/>
  <c r="B11" i="2"/>
  <c r="I11" i="2"/>
  <c r="AO36" i="2"/>
  <c r="AO35" i="2"/>
  <c r="AN35" i="2"/>
  <c r="AM35" i="2"/>
  <c r="P36" i="2"/>
  <c r="O36" i="2"/>
  <c r="N36" i="2"/>
  <c r="Q36" i="2"/>
  <c r="P35" i="2"/>
  <c r="O35" i="2"/>
  <c r="N35" i="2"/>
  <c r="M35" i="2"/>
  <c r="Q35" i="2"/>
  <c r="AL11" i="2"/>
  <c r="AM11" i="2"/>
  <c r="AN36" i="2" s="1"/>
  <c r="AH8" i="2"/>
  <c r="AK5" i="2"/>
  <c r="AN5" i="2"/>
  <c r="AM5" i="2"/>
  <c r="AL5" i="2"/>
  <c r="AO5" i="2"/>
  <c r="AP5" i="2"/>
  <c r="O96" i="2"/>
  <c r="N96" i="2"/>
  <c r="M96" i="2"/>
  <c r="Q91" i="2"/>
  <c r="Q85" i="2"/>
  <c r="L96" i="2"/>
  <c r="K96" i="2"/>
  <c r="J96" i="2"/>
  <c r="Q79" i="2"/>
  <c r="Q96" i="2" s="1"/>
  <c r="M56" i="2"/>
  <c r="M55" i="2"/>
  <c r="M53" i="2"/>
  <c r="M48" i="2"/>
  <c r="M45" i="2"/>
  <c r="M42" i="2"/>
  <c r="M52" i="2" s="1"/>
  <c r="M41" i="2"/>
  <c r="M40" i="2" s="1"/>
  <c r="Q56" i="2"/>
  <c r="Q55" i="2"/>
  <c r="Q53" i="2"/>
  <c r="Q41" i="2"/>
  <c r="Q40" i="2" s="1"/>
  <c r="Q48" i="2"/>
  <c r="Q45" i="2"/>
  <c r="Q42" i="2"/>
  <c r="AM37" i="2"/>
  <c r="AL37" i="2"/>
  <c r="AK37" i="2"/>
  <c r="AK18" i="2"/>
  <c r="AJ18" i="2"/>
  <c r="AJ21" i="2" s="1"/>
  <c r="AS15" i="2" l="1"/>
  <c r="AR16" i="2"/>
  <c r="BB33" i="2"/>
  <c r="AR38" i="2"/>
  <c r="AQ17" i="2"/>
  <c r="AQ30" i="2" s="1"/>
  <c r="AR17" i="2"/>
  <c r="AR30" i="2" s="1"/>
  <c r="U22" i="2"/>
  <c r="V22" i="2"/>
  <c r="W22" i="2"/>
  <c r="W31" i="2" s="1"/>
  <c r="X22" i="2"/>
  <c r="Y22" i="2"/>
  <c r="Y31" i="2" s="1"/>
  <c r="Y24" i="2"/>
  <c r="Z22" i="2"/>
  <c r="AA22" i="2"/>
  <c r="AA24" i="2" s="1"/>
  <c r="AB22" i="2"/>
  <c r="AC22" i="2"/>
  <c r="AD22" i="2"/>
  <c r="AD30" i="2"/>
  <c r="AE22" i="2"/>
  <c r="AE31" i="2" s="1"/>
  <c r="AG22" i="2"/>
  <c r="AG31" i="2" s="1"/>
  <c r="AM36" i="2"/>
  <c r="AF22" i="2"/>
  <c r="AF24" i="2" s="1"/>
  <c r="AH22" i="2"/>
  <c r="AI17" i="2"/>
  <c r="AI7" i="2"/>
  <c r="AI8" i="2"/>
  <c r="Q94" i="2"/>
  <c r="Q62" i="2"/>
  <c r="Q64" i="2" s="1"/>
  <c r="M62" i="2"/>
  <c r="M64" i="2" s="1"/>
  <c r="Q52" i="2"/>
  <c r="AK21" i="2"/>
  <c r="AJ15" i="2"/>
  <c r="AJ38" i="2" s="1"/>
  <c r="AK15" i="2"/>
  <c r="AL18" i="2"/>
  <c r="AL21" i="2" s="1"/>
  <c r="AM18" i="2"/>
  <c r="AM21" i="2" s="1"/>
  <c r="AL15" i="2"/>
  <c r="AM15" i="2"/>
  <c r="I37" i="2"/>
  <c r="H37" i="2"/>
  <c r="G37" i="2"/>
  <c r="F37" i="2"/>
  <c r="B18" i="2"/>
  <c r="B21" i="2" s="1"/>
  <c r="F18" i="2"/>
  <c r="F21" i="2" s="1"/>
  <c r="B15" i="2"/>
  <c r="B17" i="2" s="1"/>
  <c r="F15" i="2"/>
  <c r="C18" i="2"/>
  <c r="C21" i="2" s="1"/>
  <c r="C15" i="2"/>
  <c r="G18" i="2"/>
  <c r="G21" i="2" s="1"/>
  <c r="D15" i="2"/>
  <c r="D17" i="2" s="1"/>
  <c r="D30" i="2" s="1"/>
  <c r="H15" i="2"/>
  <c r="H17" i="2" s="1"/>
  <c r="H30" i="2" s="1"/>
  <c r="G15" i="2"/>
  <c r="G17" i="2" s="1"/>
  <c r="G30" i="2" s="1"/>
  <c r="D18" i="2"/>
  <c r="D21" i="2" s="1"/>
  <c r="H18" i="2"/>
  <c r="H21" i="2" s="1"/>
  <c r="E18" i="2"/>
  <c r="E21" i="2" s="1"/>
  <c r="I18" i="2"/>
  <c r="I21" i="2" s="1"/>
  <c r="E15" i="2"/>
  <c r="E17" i="2" s="1"/>
  <c r="I15" i="2"/>
  <c r="J18" i="2"/>
  <c r="J21" i="2" s="1"/>
  <c r="N18" i="2"/>
  <c r="N21" i="2" s="1"/>
  <c r="J12" i="2"/>
  <c r="J15" i="2" s="1"/>
  <c r="J17" i="2" s="1"/>
  <c r="J30" i="2" s="1"/>
  <c r="N12" i="2"/>
  <c r="N15" i="2" s="1"/>
  <c r="N17" i="2" s="1"/>
  <c r="K18" i="2"/>
  <c r="K21" i="2" s="1"/>
  <c r="O18" i="2"/>
  <c r="O21" i="2" s="1"/>
  <c r="K12" i="2"/>
  <c r="K15" i="2" s="1"/>
  <c r="K17" i="2" s="1"/>
  <c r="O12" i="2"/>
  <c r="O15" i="2" s="1"/>
  <c r="O17" i="2" s="1"/>
  <c r="O30" i="2" s="1"/>
  <c r="L18" i="2"/>
  <c r="L21" i="2" s="1"/>
  <c r="P18" i="2"/>
  <c r="P21" i="2" s="1"/>
  <c r="L12" i="2"/>
  <c r="L15" i="2" s="1"/>
  <c r="L17" i="2" s="1"/>
  <c r="P12" i="2"/>
  <c r="P15" i="2" s="1"/>
  <c r="AN18" i="2"/>
  <c r="AN21" i="2" s="1"/>
  <c r="AO18" i="2"/>
  <c r="AN12" i="2"/>
  <c r="AO12" i="2"/>
  <c r="S12" i="2" s="1"/>
  <c r="M18" i="2"/>
  <c r="M21" i="2" s="1"/>
  <c r="Q18" i="2"/>
  <c r="Q21" i="2" s="1"/>
  <c r="M12" i="2"/>
  <c r="M15" i="2" s="1"/>
  <c r="M17" i="2" s="1"/>
  <c r="M30" i="2" s="1"/>
  <c r="Q12" i="2"/>
  <c r="Q15" i="2" s="1"/>
  <c r="Q17" i="2" s="1"/>
  <c r="Q30" i="2" s="1"/>
  <c r="J4" i="1"/>
  <c r="J7" i="1" s="1"/>
  <c r="J9" i="1" s="1"/>
  <c r="AF2" i="2"/>
  <c r="AG2" i="2" s="1"/>
  <c r="AH2" i="2" s="1"/>
  <c r="AI2" i="2" s="1"/>
  <c r="AJ2" i="2" s="1"/>
  <c r="AK2" i="2" s="1"/>
  <c r="AL2" i="2" s="1"/>
  <c r="AM2" i="2" s="1"/>
  <c r="AN2" i="2" s="1"/>
  <c r="AO2" i="2" s="1"/>
  <c r="AP2" i="2" s="1"/>
  <c r="AQ2" i="2" s="1"/>
  <c r="AR2" i="2" s="1"/>
  <c r="AS2" i="2" s="1"/>
  <c r="AT2" i="2" s="1"/>
  <c r="AU2" i="2" s="1"/>
  <c r="AV2" i="2" s="1"/>
  <c r="AW2" i="2" s="1"/>
  <c r="AX2" i="2" s="1"/>
  <c r="AY2" i="2" s="1"/>
  <c r="AT15" i="2" l="1"/>
  <c r="AS16" i="2"/>
  <c r="AS17" i="2" s="1"/>
  <c r="AS30" i="2" s="1"/>
  <c r="AS38" i="2"/>
  <c r="AO21" i="2"/>
  <c r="AP18" i="2"/>
  <c r="U31" i="2"/>
  <c r="U24" i="2"/>
  <c r="V31" i="2"/>
  <c r="V24" i="2"/>
  <c r="W24" i="2"/>
  <c r="W33" i="2" s="1"/>
  <c r="X31" i="2"/>
  <c r="X24" i="2"/>
  <c r="Y33" i="2"/>
  <c r="Y26" i="2"/>
  <c r="Z31" i="2"/>
  <c r="Z24" i="2"/>
  <c r="AA31" i="2"/>
  <c r="AA33" i="2"/>
  <c r="AA26" i="2"/>
  <c r="AB31" i="2"/>
  <c r="AB24" i="2"/>
  <c r="AC31" i="2"/>
  <c r="AC24" i="2"/>
  <c r="AD31" i="2"/>
  <c r="AD24" i="2"/>
  <c r="AE24" i="2"/>
  <c r="AE33" i="2" s="1"/>
  <c r="AG24" i="2"/>
  <c r="AG33" i="2" s="1"/>
  <c r="AF31" i="2"/>
  <c r="AF33" i="2"/>
  <c r="AF26" i="2"/>
  <c r="AH31" i="2"/>
  <c r="AH24" i="2"/>
  <c r="AI30" i="2"/>
  <c r="AI22" i="2"/>
  <c r="AL17" i="2"/>
  <c r="AL30" i="2" s="1"/>
  <c r="AL8" i="2"/>
  <c r="AL7" i="2"/>
  <c r="AJ8" i="2"/>
  <c r="AJ7" i="2"/>
  <c r="AK8" i="2"/>
  <c r="AK7" i="2"/>
  <c r="AM17" i="2"/>
  <c r="AM22" i="2" s="1"/>
  <c r="AM31" i="2" s="1"/>
  <c r="AM7" i="2"/>
  <c r="AM8" i="2"/>
  <c r="P38" i="2"/>
  <c r="F38" i="2"/>
  <c r="N37" i="2"/>
  <c r="AO15" i="2"/>
  <c r="AP37" i="2"/>
  <c r="AO37" i="2"/>
  <c r="O37" i="2"/>
  <c r="AN15" i="2"/>
  <c r="AN38" i="2" s="1"/>
  <c r="AN37" i="2"/>
  <c r="AM38" i="2"/>
  <c r="J37" i="2"/>
  <c r="K37" i="2"/>
  <c r="M37" i="2"/>
  <c r="P37" i="2"/>
  <c r="AJ17" i="2"/>
  <c r="AL38" i="2"/>
  <c r="AK17" i="2"/>
  <c r="AK30" i="2" s="1"/>
  <c r="Q37" i="2"/>
  <c r="L37" i="2"/>
  <c r="AK38" i="2"/>
  <c r="J38" i="2"/>
  <c r="I38" i="2"/>
  <c r="M22" i="2"/>
  <c r="M31" i="2" s="1"/>
  <c r="G38" i="2"/>
  <c r="N38" i="2"/>
  <c r="Q38" i="2"/>
  <c r="P17" i="2"/>
  <c r="P30" i="2" s="1"/>
  <c r="F17" i="2"/>
  <c r="F30" i="2" s="1"/>
  <c r="O38" i="2"/>
  <c r="Q22" i="2"/>
  <c r="M38" i="2"/>
  <c r="I17" i="2"/>
  <c r="I30" i="2" s="1"/>
  <c r="K38" i="2"/>
  <c r="B22" i="2"/>
  <c r="B31" i="2" s="1"/>
  <c r="B30" i="2"/>
  <c r="C17" i="2"/>
  <c r="G22" i="2"/>
  <c r="H38" i="2"/>
  <c r="L38" i="2"/>
  <c r="D22" i="2"/>
  <c r="H22" i="2"/>
  <c r="E22" i="2"/>
  <c r="E31" i="2" s="1"/>
  <c r="E30" i="2"/>
  <c r="J22" i="2"/>
  <c r="N22" i="2"/>
  <c r="N24" i="2" s="1"/>
  <c r="N30" i="2"/>
  <c r="K22" i="2"/>
  <c r="K31" i="2" s="1"/>
  <c r="K30" i="2"/>
  <c r="O22" i="2"/>
  <c r="O31" i="2" s="1"/>
  <c r="L22" i="2"/>
  <c r="L24" i="2" s="1"/>
  <c r="L30" i="2"/>
  <c r="AU15" i="2" l="1"/>
  <c r="AT16" i="2"/>
  <c r="AT38" i="2"/>
  <c r="AT17" i="2"/>
  <c r="AT30" i="2" s="1"/>
  <c r="AQ18" i="2"/>
  <c r="AP21" i="2"/>
  <c r="AP22" i="2" s="1"/>
  <c r="U33" i="2"/>
  <c r="U26" i="2"/>
  <c r="V33" i="2"/>
  <c r="V26" i="2"/>
  <c r="W26" i="2"/>
  <c r="W32" i="2" s="1"/>
  <c r="X33" i="2"/>
  <c r="X26" i="2"/>
  <c r="Y32" i="2"/>
  <c r="Y27" i="2"/>
  <c r="Z33" i="2"/>
  <c r="Z26" i="2"/>
  <c r="AA32" i="2"/>
  <c r="AA27" i="2"/>
  <c r="AB33" i="2"/>
  <c r="AB26" i="2"/>
  <c r="AC33" i="2"/>
  <c r="AC26" i="2"/>
  <c r="AD33" i="2"/>
  <c r="AD26" i="2"/>
  <c r="AE26" i="2"/>
  <c r="AE32" i="2" s="1"/>
  <c r="AG26" i="2"/>
  <c r="AG32" i="2" s="1"/>
  <c r="AL22" i="2"/>
  <c r="AL24" i="2" s="1"/>
  <c r="AF32" i="2"/>
  <c r="AF27" i="2"/>
  <c r="AH33" i="2"/>
  <c r="AH26" i="2"/>
  <c r="AI31" i="2"/>
  <c r="AI24" i="2"/>
  <c r="AM30" i="2"/>
  <c r="AN7" i="2"/>
  <c r="AN8" i="2"/>
  <c r="AO7" i="2"/>
  <c r="AO8" i="2"/>
  <c r="AN17" i="2"/>
  <c r="AN30" i="2" s="1"/>
  <c r="P22" i="2"/>
  <c r="P24" i="2" s="1"/>
  <c r="P33" i="2" s="1"/>
  <c r="N31" i="2"/>
  <c r="AO17" i="2"/>
  <c r="AP38" i="2"/>
  <c r="AO38" i="2"/>
  <c r="M24" i="2"/>
  <c r="M26" i="2" s="1"/>
  <c r="AK22" i="2"/>
  <c r="AK31" i="2" s="1"/>
  <c r="AJ22" i="2"/>
  <c r="AJ30" i="2"/>
  <c r="AM24" i="2"/>
  <c r="AM33" i="2" s="1"/>
  <c r="I22" i="2"/>
  <c r="I31" i="2" s="1"/>
  <c r="F22" i="2"/>
  <c r="F24" i="2" s="1"/>
  <c r="Q31" i="2"/>
  <c r="Q24" i="2"/>
  <c r="J24" i="2"/>
  <c r="J31" i="2"/>
  <c r="B24" i="2"/>
  <c r="B33" i="2" s="1"/>
  <c r="C30" i="2"/>
  <c r="C22" i="2"/>
  <c r="G31" i="2"/>
  <c r="G24" i="2"/>
  <c r="D24" i="2"/>
  <c r="D31" i="2"/>
  <c r="H31" i="2"/>
  <c r="H24" i="2"/>
  <c r="E24" i="2"/>
  <c r="E33" i="2" s="1"/>
  <c r="N33" i="2"/>
  <c r="N26" i="2"/>
  <c r="N66" i="2" s="1"/>
  <c r="K24" i="2"/>
  <c r="K33" i="2" s="1"/>
  <c r="O24" i="2"/>
  <c r="O33" i="2" s="1"/>
  <c r="L31" i="2"/>
  <c r="L33" i="2"/>
  <c r="L26" i="2"/>
  <c r="L66" i="2" s="1"/>
  <c r="M27" i="2" l="1"/>
  <c r="M66" i="2"/>
  <c r="AV15" i="2"/>
  <c r="AU16" i="2"/>
  <c r="AU38" i="2"/>
  <c r="AU17" i="2"/>
  <c r="AU30" i="2" s="1"/>
  <c r="AP31" i="2"/>
  <c r="AP24" i="2"/>
  <c r="AR18" i="2"/>
  <c r="AQ21" i="2"/>
  <c r="AQ22" i="2" s="1"/>
  <c r="U32" i="2"/>
  <c r="U27" i="2"/>
  <c r="V32" i="2"/>
  <c r="V27" i="2"/>
  <c r="W27" i="2"/>
  <c r="X32" i="2"/>
  <c r="X27" i="2"/>
  <c r="Z32" i="2"/>
  <c r="Z27" i="2"/>
  <c r="AB32" i="2"/>
  <c r="AB27" i="2"/>
  <c r="AC32" i="2"/>
  <c r="AC27" i="2"/>
  <c r="AD32" i="2"/>
  <c r="AD27" i="2"/>
  <c r="AE27" i="2"/>
  <c r="AL31" i="2"/>
  <c r="AG27" i="2"/>
  <c r="AH32" i="2"/>
  <c r="AH27" i="2"/>
  <c r="AI33" i="2"/>
  <c r="AI26" i="2"/>
  <c r="N32" i="2"/>
  <c r="N27" i="2"/>
  <c r="L32" i="2"/>
  <c r="L27" i="2"/>
  <c r="M32" i="2"/>
  <c r="AN22" i="2"/>
  <c r="AN24" i="2" s="1"/>
  <c r="AN26" i="2" s="1"/>
  <c r="AN66" i="2" s="1"/>
  <c r="AK24" i="2"/>
  <c r="AK26" i="2" s="1"/>
  <c r="AK66" i="2" s="1"/>
  <c r="M33" i="2"/>
  <c r="P26" i="2"/>
  <c r="P66" i="2" s="1"/>
  <c r="P31" i="2"/>
  <c r="AO30" i="2"/>
  <c r="AO22" i="2"/>
  <c r="F31" i="2"/>
  <c r="I24" i="2"/>
  <c r="I33" i="2" s="1"/>
  <c r="AJ31" i="2"/>
  <c r="AJ24" i="2"/>
  <c r="AL33" i="2"/>
  <c r="AL26" i="2"/>
  <c r="AL66" i="2" s="1"/>
  <c r="AM26" i="2"/>
  <c r="AM66" i="2" s="1"/>
  <c r="J26" i="2"/>
  <c r="J66" i="2" s="1"/>
  <c r="J33" i="2"/>
  <c r="Q33" i="2"/>
  <c r="Q26" i="2"/>
  <c r="Q27" i="2" s="1"/>
  <c r="B26" i="2"/>
  <c r="F33" i="2"/>
  <c r="F26" i="2"/>
  <c r="C31" i="2"/>
  <c r="C24" i="2"/>
  <c r="G33" i="2"/>
  <c r="G26" i="2"/>
  <c r="D33" i="2"/>
  <c r="D26" i="2"/>
  <c r="H33" i="2"/>
  <c r="H26" i="2"/>
  <c r="E26" i="2"/>
  <c r="K26" i="2"/>
  <c r="K66" i="2" s="1"/>
  <c r="O26" i="2"/>
  <c r="O66" i="2" s="1"/>
  <c r="AW15" i="2" l="1"/>
  <c r="AV16" i="2"/>
  <c r="AV17" i="2"/>
  <c r="AV30" i="2" s="1"/>
  <c r="AV38" i="2"/>
  <c r="AP25" i="2"/>
  <c r="AP33" i="2" s="1"/>
  <c r="AQ31" i="2"/>
  <c r="AS18" i="2"/>
  <c r="AR21" i="2"/>
  <c r="AR22" i="2" s="1"/>
  <c r="AR31" i="2" s="1"/>
  <c r="AI32" i="2"/>
  <c r="AI27" i="2"/>
  <c r="E32" i="2"/>
  <c r="E27" i="2"/>
  <c r="J32" i="2"/>
  <c r="J27" i="2"/>
  <c r="AL32" i="2"/>
  <c r="AL27" i="2"/>
  <c r="D32" i="2"/>
  <c r="D27" i="2"/>
  <c r="G32" i="2"/>
  <c r="G27" i="2"/>
  <c r="F32" i="2"/>
  <c r="F27" i="2"/>
  <c r="H32" i="2"/>
  <c r="H27" i="2"/>
  <c r="AK32" i="2"/>
  <c r="AK27" i="2"/>
  <c r="P32" i="2"/>
  <c r="P27" i="2"/>
  <c r="AM32" i="2"/>
  <c r="AM27" i="2"/>
  <c r="O32" i="2"/>
  <c r="O27" i="2"/>
  <c r="K32" i="2"/>
  <c r="K27" i="2"/>
  <c r="B32" i="2"/>
  <c r="B27" i="2"/>
  <c r="AN32" i="2"/>
  <c r="AN27" i="2"/>
  <c r="Q32" i="2"/>
  <c r="Q66" i="2"/>
  <c r="AN33" i="2"/>
  <c r="AN31" i="2"/>
  <c r="I26" i="2"/>
  <c r="AK33" i="2"/>
  <c r="AO31" i="2"/>
  <c r="AO24" i="2"/>
  <c r="AJ33" i="2"/>
  <c r="AJ26" i="2"/>
  <c r="AJ66" i="2" s="1"/>
  <c r="C33" i="2"/>
  <c r="C26" i="2"/>
  <c r="AX15" i="2" l="1"/>
  <c r="AW16" i="2"/>
  <c r="AW38" i="2"/>
  <c r="AW17" i="2"/>
  <c r="AW30" i="2" s="1"/>
  <c r="AP26" i="2"/>
  <c r="AT18" i="2"/>
  <c r="AS21" i="2"/>
  <c r="AS22" i="2" s="1"/>
  <c r="AS31" i="2" s="1"/>
  <c r="I32" i="2"/>
  <c r="I27" i="2"/>
  <c r="C32" i="2"/>
  <c r="C27" i="2"/>
  <c r="AJ32" i="2"/>
  <c r="AJ27" i="2"/>
  <c r="AO33" i="2"/>
  <c r="AO26" i="2"/>
  <c r="AO66" i="2" s="1"/>
  <c r="AY15" i="2" l="1"/>
  <c r="AX16" i="2"/>
  <c r="AX38" i="2"/>
  <c r="AX17" i="2"/>
  <c r="AX30" i="2" s="1"/>
  <c r="AP32" i="2"/>
  <c r="AP41" i="2"/>
  <c r="AU18" i="2"/>
  <c r="AT21" i="2"/>
  <c r="AT22" i="2" s="1"/>
  <c r="AT31" i="2" s="1"/>
  <c r="AO32" i="2"/>
  <c r="AO27" i="2"/>
  <c r="AY16" i="2" l="1"/>
  <c r="S15" i="2"/>
  <c r="AY38" i="2"/>
  <c r="AY17" i="2"/>
  <c r="AY30" i="2" s="1"/>
  <c r="AQ23" i="2"/>
  <c r="AQ24" i="2" s="1"/>
  <c r="AV18" i="2"/>
  <c r="AU21" i="2"/>
  <c r="AU22" i="2" s="1"/>
  <c r="AU31" i="2" s="1"/>
  <c r="AQ25" i="2" l="1"/>
  <c r="AQ33" i="2" s="1"/>
  <c r="AW18" i="2"/>
  <c r="AV21" i="2"/>
  <c r="AV22" i="2" s="1"/>
  <c r="AV31" i="2" s="1"/>
  <c r="AQ26" i="2" l="1"/>
  <c r="AQ41" i="2"/>
  <c r="AR23" i="2" s="1"/>
  <c r="AR24" i="2" s="1"/>
  <c r="AR25" i="2" s="1"/>
  <c r="AR33" i="2" s="1"/>
  <c r="AQ32" i="2"/>
  <c r="AX18" i="2"/>
  <c r="AW21" i="2"/>
  <c r="AW22" i="2" s="1"/>
  <c r="AW31" i="2" s="1"/>
  <c r="AR26" i="2" l="1"/>
  <c r="AR32" i="2" s="1"/>
  <c r="AY18" i="2"/>
  <c r="AY21" i="2" s="1"/>
  <c r="AY22" i="2" s="1"/>
  <c r="AY31" i="2" s="1"/>
  <c r="AX21" i="2"/>
  <c r="AX22" i="2" s="1"/>
  <c r="AX31" i="2" s="1"/>
  <c r="AR41" i="2" l="1"/>
  <c r="AS23" i="2" l="1"/>
  <c r="AS24" i="2" s="1"/>
  <c r="AS25" i="2" s="1"/>
  <c r="AS33" i="2" s="1"/>
  <c r="AS26" i="2" l="1"/>
  <c r="AS32" i="2" s="1"/>
  <c r="AS41" i="2" l="1"/>
  <c r="AT23" i="2" l="1"/>
  <c r="AT24" i="2" s="1"/>
  <c r="AT25" i="2" s="1"/>
  <c r="AT33" i="2" s="1"/>
  <c r="AT26" i="2" l="1"/>
  <c r="AT32" i="2" l="1"/>
  <c r="AT41" i="2"/>
  <c r="AU23" i="2" s="1"/>
  <c r="AU24" i="2" l="1"/>
  <c r="AU25" i="2" l="1"/>
  <c r="AU33" i="2" s="1"/>
  <c r="AU26" i="2" l="1"/>
  <c r="AU32" i="2" s="1"/>
  <c r="AU41" i="2" l="1"/>
  <c r="AV23" i="2" l="1"/>
  <c r="AV24" i="2" s="1"/>
  <c r="AV25" i="2" s="1"/>
  <c r="AV33" i="2" s="1"/>
  <c r="AV26" i="2" l="1"/>
  <c r="AV32" i="2"/>
  <c r="AV41" i="2"/>
  <c r="AW23" i="2" s="1"/>
  <c r="AW24" i="2" l="1"/>
  <c r="AW25" i="2" l="1"/>
  <c r="AW33" i="2" s="1"/>
  <c r="AW26" i="2" l="1"/>
  <c r="AW32" i="2" s="1"/>
  <c r="AW41" i="2" l="1"/>
  <c r="AX23" i="2" l="1"/>
  <c r="AX24" i="2" s="1"/>
  <c r="AX25" i="2" s="1"/>
  <c r="AX33" i="2" s="1"/>
  <c r="AX26" i="2" l="1"/>
  <c r="AX32" i="2" l="1"/>
  <c r="AX41" i="2"/>
  <c r="AY23" i="2" s="1"/>
  <c r="AY24" i="2" l="1"/>
  <c r="AY25" i="2" l="1"/>
  <c r="AY33" i="2" s="1"/>
  <c r="AY26" i="2" l="1"/>
  <c r="AZ26" i="2" s="1"/>
  <c r="BA26" i="2" s="1"/>
  <c r="BB26" i="2" s="1"/>
  <c r="BC26" i="2" s="1"/>
  <c r="BD26" i="2" s="1"/>
  <c r="BE26" i="2" s="1"/>
  <c r="BF26" i="2" s="1"/>
  <c r="BG26" i="2" s="1"/>
  <c r="BH26" i="2" s="1"/>
  <c r="BI26" i="2" s="1"/>
  <c r="BJ26" i="2" s="1"/>
  <c r="BK26" i="2" s="1"/>
  <c r="BL26" i="2" s="1"/>
  <c r="BM26" i="2" s="1"/>
  <c r="BN26" i="2" s="1"/>
  <c r="BO26" i="2" s="1"/>
  <c r="BP26" i="2" s="1"/>
  <c r="BQ26" i="2" s="1"/>
  <c r="BR26" i="2" s="1"/>
  <c r="BS26" i="2" s="1"/>
  <c r="BT26" i="2" s="1"/>
  <c r="BU26" i="2" s="1"/>
  <c r="BV26" i="2" s="1"/>
  <c r="BW26" i="2" s="1"/>
  <c r="BX26" i="2" s="1"/>
  <c r="BY26" i="2" s="1"/>
  <c r="BZ26" i="2" s="1"/>
  <c r="CA26" i="2" s="1"/>
  <c r="CB26" i="2" s="1"/>
  <c r="CC26" i="2" s="1"/>
  <c r="CD26" i="2" s="1"/>
  <c r="CE26" i="2" s="1"/>
  <c r="CF26" i="2" s="1"/>
  <c r="CG26" i="2" s="1"/>
  <c r="CH26" i="2" s="1"/>
  <c r="CI26" i="2" s="1"/>
  <c r="CJ26" i="2" s="1"/>
  <c r="CK26" i="2" s="1"/>
  <c r="CL26" i="2" s="1"/>
  <c r="CM26" i="2" s="1"/>
  <c r="CN26" i="2" s="1"/>
  <c r="CO26" i="2" s="1"/>
  <c r="CP26" i="2" s="1"/>
  <c r="CQ26" i="2" s="1"/>
  <c r="CR26" i="2" s="1"/>
  <c r="CS26" i="2" s="1"/>
  <c r="CT26" i="2" s="1"/>
  <c r="CU26" i="2" s="1"/>
  <c r="CV26" i="2" s="1"/>
  <c r="CW26" i="2" s="1"/>
  <c r="CX26" i="2" s="1"/>
  <c r="CY26" i="2" s="1"/>
  <c r="CZ26" i="2" s="1"/>
  <c r="DA26" i="2" s="1"/>
  <c r="DB26" i="2" s="1"/>
  <c r="DC26" i="2" s="1"/>
  <c r="DD26" i="2" s="1"/>
  <c r="DE26" i="2" s="1"/>
  <c r="DF26" i="2" s="1"/>
  <c r="DG26" i="2" s="1"/>
  <c r="DH26" i="2" s="1"/>
  <c r="DI26" i="2" s="1"/>
  <c r="DJ26" i="2" s="1"/>
  <c r="DK26" i="2" s="1"/>
  <c r="DL26" i="2" s="1"/>
  <c r="DM26" i="2" s="1"/>
  <c r="DN26" i="2" s="1"/>
  <c r="DO26" i="2" s="1"/>
  <c r="DP26" i="2" s="1"/>
  <c r="DQ26" i="2" s="1"/>
  <c r="DR26" i="2" s="1"/>
  <c r="DS26" i="2" s="1"/>
  <c r="DT26" i="2" s="1"/>
  <c r="DU26" i="2" s="1"/>
  <c r="DV26" i="2" s="1"/>
  <c r="DW26" i="2" s="1"/>
  <c r="DX26" i="2" s="1"/>
  <c r="DY26" i="2" s="1"/>
  <c r="DZ26" i="2" s="1"/>
  <c r="EA26" i="2" s="1"/>
  <c r="EB26" i="2" s="1"/>
  <c r="EC26" i="2" s="1"/>
  <c r="ED26" i="2" s="1"/>
  <c r="EE26" i="2" s="1"/>
  <c r="EF26" i="2" s="1"/>
  <c r="EG26" i="2" s="1"/>
  <c r="EH26" i="2" s="1"/>
  <c r="EI26" i="2" s="1"/>
  <c r="EJ26" i="2" s="1"/>
  <c r="EK26" i="2" s="1"/>
  <c r="EL26" i="2" s="1"/>
  <c r="EM26" i="2" s="1"/>
  <c r="EN26" i="2" s="1"/>
  <c r="EO26" i="2" s="1"/>
  <c r="EP26" i="2" s="1"/>
  <c r="EQ26" i="2" s="1"/>
  <c r="ER26" i="2" s="1"/>
  <c r="ES26" i="2" s="1"/>
  <c r="ET26" i="2" s="1"/>
  <c r="EU26" i="2" s="1"/>
  <c r="EV26" i="2" s="1"/>
  <c r="BB32" i="2" s="1"/>
  <c r="BB34" i="2" s="1"/>
  <c r="BB35" i="2" s="1"/>
  <c r="BB37" i="2" s="1"/>
  <c r="AY32" i="2" l="1"/>
  <c r="AY4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Fidel</author>
  </authors>
  <commentList>
    <comment ref="AP12" authorId="0" shapeId="0" xr:uid="{0420D02A-A6A6-45E8-93D6-FD6B4A515451}">
      <text>
        <r>
          <rPr>
            <b/>
            <sz val="9"/>
            <color indexed="81"/>
            <rFont val="Tahoma"/>
            <charset val="1"/>
          </rPr>
          <t>Fidel:</t>
        </r>
        <r>
          <rPr>
            <sz val="9"/>
            <color indexed="81"/>
            <rFont val="Tahoma"/>
            <charset val="1"/>
          </rPr>
          <t xml:space="preserve">
Guidance:
€440 million - €490 million </t>
        </r>
      </text>
    </comment>
    <comment ref="AP15" authorId="0" shapeId="0" xr:uid="{5F8C22FC-05A8-432A-9652-1E09E5AC8620}">
      <text>
        <r>
          <rPr>
            <b/>
            <sz val="9"/>
            <color indexed="81"/>
            <rFont val="Tahoma"/>
            <charset val="1"/>
          </rPr>
          <t>Fidel:</t>
        </r>
        <r>
          <rPr>
            <sz val="9"/>
            <color indexed="81"/>
            <rFont val="Tahoma"/>
            <charset val="1"/>
          </rPr>
          <t xml:space="preserve">
Guidance:
€505 million - €565 million</t>
        </r>
      </text>
    </comment>
    <comment ref="AP96" authorId="0" shapeId="0" xr:uid="{F278E44E-5710-4DA6-BFE3-3C2EFF126D97}">
      <text>
        <r>
          <rPr>
            <b/>
            <sz val="9"/>
            <color indexed="81"/>
            <rFont val="Tahoma"/>
            <charset val="1"/>
          </rPr>
          <t>Fidel:</t>
        </r>
        <r>
          <rPr>
            <sz val="9"/>
            <color indexed="81"/>
            <rFont val="Tahoma"/>
            <charset val="1"/>
          </rPr>
          <t xml:space="preserve">
Guidance:
Break-even</t>
        </r>
      </text>
    </comment>
  </commentList>
</comments>
</file>

<file path=xl/sharedStrings.xml><?xml version="1.0" encoding="utf-8"?>
<sst xmlns="http://schemas.openxmlformats.org/spreadsheetml/2006/main" count="204" uniqueCount="182">
  <si>
    <t>Revenue</t>
  </si>
  <si>
    <t>COGS</t>
  </si>
  <si>
    <t>Gross profit</t>
  </si>
  <si>
    <t>R&amp;D</t>
  </si>
  <si>
    <t>Operating expense</t>
  </si>
  <si>
    <t>Operating income</t>
  </si>
  <si>
    <t>Interest income</t>
  </si>
  <si>
    <t>Pretax</t>
  </si>
  <si>
    <t>Taxes</t>
  </si>
  <si>
    <t>Net income</t>
  </si>
  <si>
    <t>EPS</t>
  </si>
  <si>
    <t>Shares</t>
  </si>
  <si>
    <t>Gross margin</t>
  </si>
  <si>
    <t>Operating margin</t>
  </si>
  <si>
    <t>Net margin</t>
  </si>
  <si>
    <t>Tax rate</t>
  </si>
  <si>
    <t>Revenue y/y</t>
  </si>
  <si>
    <t>Q121</t>
  </si>
  <si>
    <t>Q222</t>
  </si>
  <si>
    <t>Q322</t>
  </si>
  <si>
    <t>Q221</t>
  </si>
  <si>
    <t>Q321</t>
  </si>
  <si>
    <t>Q421</t>
  </si>
  <si>
    <t>Q122</t>
  </si>
  <si>
    <t>Q422</t>
  </si>
  <si>
    <t>Q123</t>
  </si>
  <si>
    <t>Q223</t>
  </si>
  <si>
    <t>Q323</t>
  </si>
  <si>
    <t>Q423</t>
  </si>
  <si>
    <t>Q124</t>
  </si>
  <si>
    <t>Q224</t>
  </si>
  <si>
    <t>Q324</t>
  </si>
  <si>
    <t>Q424</t>
  </si>
  <si>
    <t>Price</t>
  </si>
  <si>
    <t>MC</t>
  </si>
  <si>
    <t>Cash</t>
  </si>
  <si>
    <t>Debt</t>
  </si>
  <si>
    <t>EV</t>
  </si>
  <si>
    <t>Location technology</t>
  </si>
  <si>
    <t>Automotive</t>
  </si>
  <si>
    <t>Enterprise</t>
  </si>
  <si>
    <t>Consumer</t>
  </si>
  <si>
    <t>G&amp;A</t>
  </si>
  <si>
    <t>S&amp;M</t>
  </si>
  <si>
    <t>CFFO</t>
  </si>
  <si>
    <t>FCF</t>
  </si>
  <si>
    <t>Location technologie y/y</t>
  </si>
  <si>
    <t>License type</t>
  </si>
  <si>
    <t>Revenue recognition</t>
  </si>
  <si>
    <t>Right to use</t>
  </si>
  <si>
    <t>Right to access</t>
  </si>
  <si>
    <t>Initial map and updates</t>
  </si>
  <si>
    <t>Minumum guarantee contracts</t>
  </si>
  <si>
    <t>At a point in time (control passes) or as usage occurs (royalties).</t>
  </si>
  <si>
    <t>Over time, as access is provided or based on royalties reported.</t>
  </si>
  <si>
    <t>Inital map: at installation. Updates: straight-line over the service period.</t>
  </si>
  <si>
    <t>Based on royalties once cumulative royalties exceed the guarantee.</t>
  </si>
  <si>
    <t>Software &amp; content</t>
  </si>
  <si>
    <t>Hardware</t>
  </si>
  <si>
    <t>Net cash</t>
  </si>
  <si>
    <t>Goodwill</t>
  </si>
  <si>
    <t>Other contract assets</t>
  </si>
  <si>
    <t>Lease</t>
  </si>
  <si>
    <t>PP&amp;E</t>
  </si>
  <si>
    <t>D/T</t>
  </si>
  <si>
    <t>A/R</t>
  </si>
  <si>
    <t>Fixed-term deposits</t>
  </si>
  <si>
    <t>Investments</t>
  </si>
  <si>
    <t>Assets</t>
  </si>
  <si>
    <t>Provisions</t>
  </si>
  <si>
    <t>D/R</t>
  </si>
  <si>
    <t>A/P</t>
  </si>
  <si>
    <t>Other contract liabilties</t>
  </si>
  <si>
    <t>Accruals &amp; other</t>
  </si>
  <si>
    <t>Liabilties</t>
  </si>
  <si>
    <t>S/E</t>
  </si>
  <si>
    <t>L+S/E</t>
  </si>
  <si>
    <t>Inventories</t>
  </si>
  <si>
    <t>Model NI</t>
  </si>
  <si>
    <t>Reported NI</t>
  </si>
  <si>
    <t>Other non-cash</t>
  </si>
  <si>
    <t>ESOP</t>
  </si>
  <si>
    <t>D&amp;A</t>
  </si>
  <si>
    <t>FX</t>
  </si>
  <si>
    <t>Interest recieved</t>
  </si>
  <si>
    <t>Interest paid</t>
  </si>
  <si>
    <t>CapEx</t>
  </si>
  <si>
    <t>Sale of investments</t>
  </si>
  <si>
    <t>CFFI</t>
  </si>
  <si>
    <t>Issue of shares</t>
  </si>
  <si>
    <t>Buybacks</t>
  </si>
  <si>
    <t>CFFF</t>
  </si>
  <si>
    <t>CIC</t>
  </si>
  <si>
    <t>Backlog</t>
  </si>
  <si>
    <t>Phasing revenues</t>
  </si>
  <si>
    <t>Enterprises</t>
  </si>
  <si>
    <t>Automotive y/y</t>
  </si>
  <si>
    <t>Enterprise y/y</t>
  </si>
  <si>
    <t>By Type</t>
  </si>
  <si>
    <t>Telematics</t>
  </si>
  <si>
    <r>
      <t>Microsoft</t>
    </r>
    <r>
      <rPr>
        <sz val="10"/>
        <color theme="1"/>
        <rFont val="arial"/>
        <family val="2"/>
      </rPr>
      <t xml:space="preserve"> – Adopted TomTom Orbis Maps for enterprise and consumer offerings, including Azure Maps, Bing, Power BI, and the Office suite.</t>
    </r>
  </si>
  <si>
    <r>
      <t>Australian Government</t>
    </r>
    <r>
      <rPr>
        <sz val="10"/>
        <color theme="1"/>
        <rFont val="arial"/>
        <family val="2"/>
      </rPr>
      <t xml:space="preserve"> – Signed a multi-year contract for TomTom Orbis Maps to support asset tracking and decision-making.</t>
    </r>
  </si>
  <si>
    <r>
      <t>Qualcomm</t>
    </r>
    <r>
      <rPr>
        <sz val="10"/>
        <color theme="1"/>
        <rFont val="arial"/>
        <family val="2"/>
      </rPr>
      <t xml:space="preserve"> – Using TomTom's maps and APIs for their asset tracking platform and connected devices.</t>
    </r>
  </si>
  <si>
    <r>
      <t>Moody's</t>
    </r>
    <r>
      <rPr>
        <sz val="10"/>
        <color theme="1"/>
        <rFont val="arial"/>
        <family val="2"/>
      </rPr>
      <t xml:space="preserve"> – Incorporates TomTom map data into Moody’s Insurance Geocoder.</t>
    </r>
  </si>
  <si>
    <r>
      <t>S&amp;P Global Mobility</t>
    </r>
    <r>
      <rPr>
        <sz val="10"/>
        <color theme="1"/>
        <rFont val="arial"/>
        <family val="2"/>
      </rPr>
      <t xml:space="preserve"> – Uses TomTom's versatile maps for automotive industry analytics.</t>
    </r>
  </si>
  <si>
    <r>
      <t>Bolt</t>
    </r>
    <r>
      <rPr>
        <sz val="10"/>
        <color theme="1"/>
        <rFont val="arial"/>
        <family val="2"/>
      </rPr>
      <t xml:space="preserve"> – Powers ride-hailing and food-delivery routing with TomTom Traffic data, achieving up to 15% improvement in travel time estimations.</t>
    </r>
  </si>
  <si>
    <r>
      <t>Miovision</t>
    </r>
    <r>
      <rPr>
        <sz val="10"/>
        <color theme="1"/>
        <rFont val="arial"/>
        <family val="2"/>
      </rPr>
      <t xml:space="preserve"> – Uses TomTom traffic data to improve traffic signal analytics and vehicle solutions.</t>
    </r>
  </si>
  <si>
    <r>
      <t>NextBillion.ai</t>
    </r>
    <r>
      <rPr>
        <sz val="10"/>
        <color theme="1"/>
        <rFont val="arial"/>
        <family val="2"/>
      </rPr>
      <t xml:space="preserve"> – Applies TomTom's location technology to logistics suites.</t>
    </r>
  </si>
  <si>
    <r>
      <t>National Renewable Energy Laboratory (NREL)</t>
    </r>
    <r>
      <rPr>
        <sz val="10"/>
        <color theme="1"/>
        <rFont val="arial"/>
        <family val="2"/>
      </rPr>
      <t xml:space="preserve"> – Uses TomTom's mapping solutions in renewable energy research.</t>
    </r>
  </si>
  <si>
    <r>
      <t>Volkswagen Group</t>
    </r>
    <r>
      <rPr>
        <sz val="10"/>
        <color theme="1"/>
        <rFont val="arial"/>
        <family val="2"/>
      </rPr>
      <t xml:space="preserve"> – Launched EVs with TomTom’s navigation software integrated.</t>
    </r>
  </si>
  <si>
    <r>
      <t>BMW Motorrad</t>
    </r>
    <r>
      <rPr>
        <sz val="10"/>
        <color theme="1"/>
        <rFont val="arial"/>
        <family val="2"/>
      </rPr>
      <t xml:space="preserve"> – Uses TomTom maps and services for navigation in its motorcycle lineup.</t>
    </r>
  </si>
  <si>
    <r>
      <t>IVECO</t>
    </r>
    <r>
      <rPr>
        <sz val="10"/>
        <color theme="1"/>
        <rFont val="arial"/>
        <family val="2"/>
      </rPr>
      <t xml:space="preserve"> – Includes TomTom navigation in commercial vehicles like the Daily, eDaily, and S-Way models.</t>
    </r>
  </si>
  <si>
    <r>
      <t>SAP</t>
    </r>
    <r>
      <rPr>
        <sz val="10"/>
        <color theme="1"/>
        <rFont val="arial"/>
        <family val="2"/>
      </rPr>
      <t xml:space="preserve"> – Integrated TomTom Maps APIs with SAP HANA Spatial Services for routing, searching, and map display.</t>
    </r>
  </si>
  <si>
    <r>
      <t>Alteryx</t>
    </r>
    <r>
      <rPr>
        <sz val="10"/>
        <color theme="1"/>
        <rFont val="arial"/>
        <family val="2"/>
      </rPr>
      <t xml:space="preserve"> – Integrated TomTom data and APIs into its cloud-based analysis tools for advanced analytics.</t>
    </r>
  </si>
  <si>
    <r>
      <t>StreetLight</t>
    </r>
    <r>
      <rPr>
        <sz val="10"/>
        <color theme="1"/>
        <rFont val="arial"/>
        <family val="2"/>
      </rPr>
      <t xml:space="preserve"> – Uses TomTom's historical and real-time traffic data for transportation analysis in the US.</t>
    </r>
  </si>
  <si>
    <r>
      <t>Flow Labs</t>
    </r>
    <r>
      <rPr>
        <sz val="10"/>
        <color theme="1"/>
        <rFont val="arial"/>
        <family val="2"/>
      </rPr>
      <t xml:space="preserve"> – Incorporates TomTom Traffic data into applications for transportation optimization.</t>
    </r>
  </si>
  <si>
    <r>
      <t>PTV Group</t>
    </r>
    <r>
      <rPr>
        <sz val="10"/>
        <color theme="1"/>
        <rFont val="arial"/>
        <family val="2"/>
      </rPr>
      <t xml:space="preserve"> – Integrated TomTom Traffic data into their automated transport modeling solution, PTV Model2Go.</t>
    </r>
  </si>
  <si>
    <r>
      <t>Bridgestone Mobility Solutions</t>
    </r>
    <r>
      <rPr>
        <sz val="10"/>
        <color theme="1"/>
        <rFont val="arial"/>
        <family val="2"/>
      </rPr>
      <t xml:space="preserve"> – Signed a multi-year contract with TomTom for fleet optimization solutions.</t>
    </r>
  </si>
  <si>
    <r>
      <t>Webfleet</t>
    </r>
    <r>
      <rPr>
        <sz val="10"/>
        <color theme="1"/>
        <rFont val="arial"/>
        <family val="2"/>
      </rPr>
      <t xml:space="preserve"> – Integrates TomTom's latest EV data and routing products into its fleet management solutions.</t>
    </r>
  </si>
  <si>
    <r>
      <t>Peugeot</t>
    </r>
    <r>
      <rPr>
        <sz val="10"/>
        <color theme="1"/>
        <rFont val="arial"/>
        <family val="2"/>
      </rPr>
      <t xml:space="preserve"> (Stellantis) – Uses TomTom’s location-based products in the Peugeot E-3008 SUV.</t>
    </r>
  </si>
  <si>
    <r>
      <rPr>
        <b/>
        <sz val="10"/>
        <color theme="1"/>
        <rFont val="arial"/>
        <family val="2"/>
      </rPr>
      <t xml:space="preserve">PTV Group - </t>
    </r>
    <r>
      <rPr>
        <sz val="10"/>
        <color theme="1"/>
        <rFont val="arial"/>
        <family val="2"/>
      </rPr>
      <t xml:space="preserve">
Partnered with TomTom for their new truck navigation app, integrating TomTom's Navigation SDK for features like up-to-date maps and custom truck routing.</t>
    </r>
  </si>
  <si>
    <r>
      <t xml:space="preserve">Amazon Web Services (AWS), Meta, and Microsoft - </t>
    </r>
    <r>
      <rPr>
        <sz val="10"/>
        <color theme="1"/>
        <rFont val="arial"/>
        <family val="2"/>
      </rPr>
      <t>Co-founded the Overture Maps Foundation with TomTom, aiming to develop interoperable open map data for various commercial applications.</t>
    </r>
  </si>
  <si>
    <r>
      <t xml:space="preserve">Dutch Ministry of Infrastructure and Water Management - </t>
    </r>
    <r>
      <rPr>
        <sz val="10"/>
        <color theme="1"/>
        <rFont val="arial"/>
        <family val="2"/>
      </rPr>
      <t>Cooperated with TomTom and five other companies to improve safety features for drivers using TomTom Traffic Services.</t>
    </r>
  </si>
  <si>
    <r>
      <rPr>
        <b/>
        <sz val="10"/>
        <color theme="1"/>
        <rFont val="arial"/>
        <family val="2"/>
      </rPr>
      <t>Webflee
t Solutions</t>
    </r>
    <r>
      <rPr>
        <sz val="10"/>
        <color theme="1"/>
        <rFont val="arial"/>
        <family val="2"/>
      </rPr>
      <t>- Combined forces with TomTom to offer an integrated mobile service for professional drivers and fleet managers, incorporating features like live traffic information and reliable ETAs.</t>
    </r>
  </si>
  <si>
    <r>
      <rPr>
        <b/>
        <sz val="10"/>
        <color theme="1"/>
        <rFont val="arial"/>
        <family val="2"/>
      </rPr>
      <t>Maxar Technologies</t>
    </r>
    <r>
      <rPr>
        <sz val="10"/>
        <color theme="1"/>
        <rFont val="arial"/>
        <family val="2"/>
      </rPr>
      <t xml:space="preserve"> - Expanded an agreement with TomTom to integrate high-resolution global satellite imagery into products and services, providing photorealistic maps for end-users and enterprise customers.</t>
    </r>
  </si>
  <si>
    <r>
      <rPr>
        <b/>
        <sz val="10"/>
        <color theme="1"/>
        <rFont val="arial"/>
        <family val="2"/>
      </rPr>
      <t>Stellantis</t>
    </r>
    <r>
      <rPr>
        <sz val="10"/>
        <color theme="1"/>
        <rFont val="arial"/>
        <family val="2"/>
      </rPr>
      <t xml:space="preserve"> - Awarded TomTom a global deal to provide maps, navigation software, and connected services for their STLA SmartCockpit platform. They also launched Citroën C5 and Opel Astra models featuring TomTom's upgraded navigation solution.</t>
    </r>
  </si>
  <si>
    <r>
      <rPr>
        <b/>
        <sz val="10"/>
        <color theme="1"/>
        <rFont val="arial"/>
        <family val="2"/>
      </rPr>
      <t>Hyundai Motor Group</t>
    </r>
    <r>
      <rPr>
        <sz val="10"/>
        <color theme="1"/>
        <rFont val="arial"/>
        <family val="2"/>
      </rPr>
      <t xml:space="preserve"> - Will equip millions of vehicles in Europe with TomTom's maps and real-time traffic information, establishing a 100% take-rate for this technology.</t>
    </r>
  </si>
  <si>
    <r>
      <rPr>
        <b/>
        <sz val="10"/>
        <color theme="1"/>
        <rFont val="arial"/>
        <family val="2"/>
      </rPr>
      <t>Precisely</t>
    </r>
    <r>
      <rPr>
        <sz val="10"/>
        <color theme="1"/>
        <rFont val="arial"/>
        <family val="2"/>
      </rPr>
      <t xml:space="preserve"> - Extended a long-standing partnership with TomTom. Precisely is described as "a leading player in data management and integrity," suggesting a significant commercial relationship.</t>
    </r>
  </si>
  <si>
    <r>
      <rPr>
        <b/>
        <sz val="10"/>
        <color theme="1"/>
        <rFont val="arial"/>
        <family val="2"/>
      </rPr>
      <t>Loop</t>
    </r>
    <r>
      <rPr>
        <sz val="10"/>
        <color theme="1"/>
        <rFont val="arial"/>
        <family val="2"/>
      </rPr>
      <t xml:space="preserve"> - Signed a new multiyear agreement with TomTom to use TomTom's maps and traffic data for auto insurance. This indicates a commercial deal where TomTom's data is directly used for Loop's services.</t>
    </r>
  </si>
  <si>
    <r>
      <rPr>
        <b/>
        <sz val="10"/>
        <color theme="1"/>
        <rFont val="arial"/>
        <family val="2"/>
      </rPr>
      <t>GreenMile</t>
    </r>
    <r>
      <rPr>
        <sz val="10"/>
        <color theme="1"/>
        <rFont val="arial"/>
        <family val="2"/>
      </rPr>
      <t xml:space="preserve"> - Signed a new multiyear agreement with TomTom to integrate TomTom Maps APIs into their logistics software. This highlights a commercial partnership where TomTom's technology is integrated into GreenMile's products.</t>
    </r>
  </si>
  <si>
    <r>
      <rPr>
        <b/>
        <sz val="10"/>
        <color theme="1"/>
        <rFont val="arial"/>
        <family val="2"/>
      </rPr>
      <t>Autoware Foundation</t>
    </r>
    <r>
      <rPr>
        <sz val="10"/>
        <color theme="1"/>
        <rFont val="arial"/>
        <family val="2"/>
      </rPr>
      <t xml:space="preserve"> - TomTom joined this foundation to create an open-source interface for autonomous driving. While the foundation itself might be non-profit, the participation suggests a commercial interest in advancing autonomous driving technology.</t>
    </r>
  </si>
  <si>
    <r>
      <rPr>
        <b/>
        <sz val="10"/>
        <color theme="1"/>
        <rFont val="arial"/>
        <family val="2"/>
      </rPr>
      <t>Volkswagen Group (CARIAD)</t>
    </r>
    <r>
      <rPr>
        <sz val="10"/>
        <color theme="1"/>
        <rFont val="arial"/>
        <family val="2"/>
      </rPr>
      <t xml:space="preserve"> - Chose TomTom to co-develop a next-generation navigation product for all markets outside China. This is a major commercial deal for TomTom, indicating a significant integration of their technology into Volkswagen vehicles.</t>
    </r>
  </si>
  <si>
    <r>
      <rPr>
        <b/>
        <sz val="10"/>
        <color theme="1"/>
        <rFont val="arial"/>
        <family val="2"/>
      </rPr>
      <t>Nissan</t>
    </r>
    <r>
      <rPr>
        <sz val="10"/>
        <color theme="1"/>
        <rFont val="arial"/>
        <family val="2"/>
      </rPr>
      <t xml:space="preserve"> - Launched the latest Qashqai featuring TomTom's over-the-air map updates, ADAS features, and real-time traffic. This demonstrates a commercial integration of TomTom's products into Nissan's vehicles.</t>
    </r>
  </si>
  <si>
    <r>
      <rPr>
        <b/>
        <sz val="10"/>
        <color theme="1"/>
        <rFont val="arial"/>
        <family val="2"/>
      </rPr>
      <t>Genesis (Hyundai-Kia Motor Group)</t>
    </r>
    <r>
      <rPr>
        <sz val="10"/>
        <color theme="1"/>
        <rFont val="arial"/>
        <family val="2"/>
      </rPr>
      <t xml:space="preserve"> - Signed a new deal with TomTom for maps, ADAS features, and real-time traffic. This is a commercial agreement with a premium brand within a major automotive group.</t>
    </r>
  </si>
  <si>
    <r>
      <rPr>
        <b/>
        <sz val="10"/>
        <color theme="1"/>
        <rFont val="arial"/>
        <family val="2"/>
      </rPr>
      <t>Jeep</t>
    </r>
    <r>
      <rPr>
        <sz val="10"/>
        <color theme="1"/>
        <rFont val="arial"/>
        <family val="2"/>
      </rPr>
      <t xml:space="preserve"> - Launched new Grand Cherokee and Compass models with TomTom's navigation technology and connected services. This indicates a commercial partnership where TomTom's technology is integrated into Jeep's vehicles.</t>
    </r>
  </si>
  <si>
    <r>
      <rPr>
        <b/>
        <sz val="10"/>
        <color theme="1"/>
        <rFont val="arial"/>
        <family val="2"/>
      </rPr>
      <t>Stellantis (Fiat Ducato)</t>
    </r>
    <r>
      <rPr>
        <sz val="10"/>
        <color theme="1"/>
        <rFont val="arial"/>
        <family val="2"/>
      </rPr>
      <t xml:space="preserve"> - Launched the Fiat Ducato equipped with TomTom navigation, ADAS features, and connected services. This shows a commercial agreement to integrate TomTom's products into Stellantis's vehicles.</t>
    </r>
  </si>
  <si>
    <r>
      <rPr>
        <b/>
        <sz val="10"/>
        <color theme="1"/>
        <rFont val="arial"/>
        <family val="2"/>
      </rPr>
      <t>Toyota</t>
    </r>
    <r>
      <rPr>
        <sz val="10"/>
        <color theme="1"/>
        <rFont val="arial"/>
        <family val="2"/>
      </rPr>
      <t xml:space="preserve"> - Launched its Level 2 autonomous system, Teammate, incorporating TomTom HD Maps. This highlights a commercial relationship where TomTom's HD maps are used in Toyota's advanced driving systems.</t>
    </r>
  </si>
  <si>
    <r>
      <rPr>
        <b/>
        <sz val="10"/>
        <color theme="1"/>
        <rFont val="arial"/>
        <family val="2"/>
      </rPr>
      <t>Mitsubishi</t>
    </r>
    <r>
      <rPr>
        <sz val="10"/>
        <color theme="1"/>
        <rFont val="arial"/>
        <family val="2"/>
      </rPr>
      <t xml:space="preserve"> - TomTom's ADAS map powers the Mitsubishi Intelligent Pilot Assist in the new Outlander. This indicates a commercial agreement where TomTom's technology is used in Mitsubishi's vehicles.</t>
    </r>
  </si>
  <si>
    <r>
      <rPr>
        <b/>
        <sz val="10"/>
        <color theme="1"/>
        <rFont val="arial"/>
        <family val="2"/>
      </rPr>
      <t>Uber</t>
    </r>
    <r>
      <rPr>
        <sz val="10"/>
        <color theme="1"/>
        <rFont val="arial"/>
        <family val="2"/>
      </rPr>
      <t xml:space="preserve"> - Expanded their deal with TomTom by integrating Maps APIs in addition to map and traffic data across their global platform.</t>
    </r>
  </si>
  <si>
    <r>
      <rPr>
        <b/>
        <sz val="10"/>
        <color theme="1"/>
        <rFont val="arial"/>
        <family val="2"/>
      </rPr>
      <t>Verizon</t>
    </r>
    <r>
      <rPr>
        <sz val="10"/>
        <color theme="1"/>
        <rFont val="arial"/>
        <family val="2"/>
      </rPr>
      <t xml:space="preserve"> - Expanded their deal with TomTom by choosing to integrate TomTom's Maps APIs and SDKs into their location services offering.</t>
    </r>
  </si>
  <si>
    <r>
      <rPr>
        <b/>
        <sz val="10"/>
        <color theme="1"/>
        <rFont val="arial"/>
        <family val="2"/>
      </rPr>
      <t>Huawei</t>
    </r>
    <r>
      <rPr>
        <sz val="10"/>
        <color theme="1"/>
        <rFont val="arial"/>
        <family val="2"/>
      </rPr>
      <t xml:space="preserve"> - Selected TomTom maps and traffic to power their own Petal Maps application.</t>
    </r>
  </si>
  <si>
    <r>
      <rPr>
        <b/>
        <sz val="10"/>
        <color theme="1"/>
        <rFont val="arial"/>
        <family val="2"/>
      </rPr>
      <t>Targa Telematics</t>
    </r>
    <r>
      <rPr>
        <sz val="10"/>
        <color theme="1"/>
        <rFont val="arial"/>
        <family val="2"/>
      </rPr>
      <t xml:space="preserve"> - Chose TomTom's Maps APIs to enhance their vehicle management and smart mobility solutions.</t>
    </r>
  </si>
  <si>
    <r>
      <rPr>
        <b/>
        <sz val="10"/>
        <color theme="1"/>
        <rFont val="arial"/>
        <family val="2"/>
      </rPr>
      <t>Michelin Travel Partner</t>
    </r>
    <r>
      <rPr>
        <sz val="10"/>
        <color theme="1"/>
        <rFont val="arial"/>
        <family val="2"/>
      </rPr>
      <t xml:space="preserve"> - Extended their global deal with TomTom for maps and traffic data.</t>
    </r>
  </si>
  <si>
    <r>
      <t xml:space="preserve">Amazon </t>
    </r>
    <r>
      <rPr>
        <sz val="10"/>
        <color theme="1"/>
        <rFont val="arial"/>
        <family val="2"/>
      </rPr>
      <t>- Partnered with TomTom to power the Alexa Auto SDK.</t>
    </r>
  </si>
  <si>
    <r>
      <t xml:space="preserve">Cerence - </t>
    </r>
    <r>
      <rPr>
        <sz val="10"/>
        <color theme="1"/>
        <rFont val="arial"/>
        <family val="2"/>
      </rPr>
      <t>Partnered with TomTom to power the new Fiat 500's voice control.</t>
    </r>
  </si>
  <si>
    <r>
      <rPr>
        <b/>
        <sz val="10"/>
        <color theme="1"/>
        <rFont val="arial"/>
        <family val="2"/>
      </rPr>
      <t>Delphi Technologies</t>
    </r>
    <r>
      <rPr>
        <sz val="10"/>
        <color theme="1"/>
        <rFont val="arial"/>
        <family val="2"/>
      </rPr>
      <t xml:space="preserve"> - Demonstrated in real-world drive tests that TomTom's ADAS map can help deliver fuel savings in passenger cars.</t>
    </r>
  </si>
  <si>
    <r>
      <rPr>
        <b/>
        <sz val="10"/>
        <color theme="1"/>
        <rFont val="arial"/>
        <family val="2"/>
      </rPr>
      <t>Foursquare</t>
    </r>
    <r>
      <rPr>
        <sz val="10"/>
        <color theme="1"/>
        <rFont val="arial"/>
        <family val="2"/>
      </rPr>
      <t xml:space="preserve"> - TomTom continues to partner with Foursquare for high-quality POI data.</t>
    </r>
  </si>
  <si>
    <r>
      <rPr>
        <b/>
        <sz val="10"/>
        <color theme="1"/>
        <rFont val="arial"/>
        <family val="2"/>
      </rPr>
      <t>Fiat Chrysler Automobiles (FCA)</t>
    </r>
    <r>
      <rPr>
        <sz val="10"/>
        <color theme="1"/>
        <rFont val="arial"/>
        <family val="2"/>
      </rPr>
      <t xml:space="preserve"> - Chose TomTom as their global supplier for maps, navigation, traffic, and other live services for their Uconnect 5 in-vehicle infotainment system across various brands (Abarth, Alfa Romeo, Chrysler, Dodge, Fiat, Jeep, Lancia, Ram trucks).</t>
    </r>
  </si>
  <si>
    <r>
      <rPr>
        <b/>
        <sz val="10"/>
        <color theme="1"/>
        <rFont val="arial"/>
        <family val="2"/>
      </rPr>
      <t>Maserati</t>
    </r>
    <r>
      <rPr>
        <sz val="10"/>
        <color theme="1"/>
        <rFont val="arial"/>
        <family val="2"/>
      </rPr>
      <t xml:space="preserve"> - Selected TomTom to power their intelligent system in-vehicle infotainment system with maps, traffic, and connected services across their latest models.</t>
    </r>
  </si>
  <si>
    <r>
      <rPr>
        <b/>
        <sz val="10"/>
        <color theme="1"/>
        <rFont val="arial"/>
        <family val="2"/>
      </rPr>
      <t>Alfa Romeo</t>
    </r>
    <r>
      <rPr>
        <sz val="10"/>
        <color theme="1"/>
        <rFont val="arial"/>
        <family val="2"/>
      </rPr>
      <t xml:space="preserve"> - Selected TomTom navigation and maps with advanced driver assistance attributes for their new Giulia and Stelvio models.</t>
    </r>
  </si>
  <si>
    <r>
      <rPr>
        <b/>
        <sz val="10"/>
        <color theme="1"/>
        <rFont val="arial"/>
        <family val="2"/>
      </rPr>
      <t>Daimler Trucks</t>
    </r>
    <r>
      <rPr>
        <sz val="10"/>
        <color theme="1"/>
        <rFont val="arial"/>
        <family val="2"/>
      </rPr>
      <t xml:space="preserve"> - Uses the TomTom ADAS Map to help automate their trucks' critical driving functions.</t>
    </r>
  </si>
  <si>
    <r>
      <rPr>
        <b/>
        <sz val="10"/>
        <color theme="1"/>
        <rFont val="arial"/>
        <family val="2"/>
      </rPr>
      <t>Subaru</t>
    </r>
    <r>
      <rPr>
        <sz val="10"/>
        <color theme="1"/>
        <rFont val="arial"/>
        <family val="2"/>
      </rPr>
      <t xml:space="preserve"> - Selected TomTom global maps and navigation software for their 2020 Outback and Legacy models.</t>
    </r>
  </si>
  <si>
    <r>
      <rPr>
        <b/>
        <sz val="10"/>
        <color theme="1"/>
        <rFont val="arial"/>
        <family val="2"/>
      </rPr>
      <t>Ford</t>
    </r>
    <r>
      <rPr>
        <sz val="10"/>
        <color theme="1"/>
        <rFont val="arial"/>
        <family val="2"/>
      </rPr>
      <t xml:space="preserve"> - Selected TomTom's real-time traffic service to power their next-generation SYNC infotainment system.</t>
    </r>
  </si>
  <si>
    <r>
      <rPr>
        <b/>
        <sz val="10"/>
        <color theme="1"/>
        <rFont val="arial"/>
        <family val="2"/>
      </rPr>
      <t>Mitsubishi Motors</t>
    </r>
    <r>
      <rPr>
        <sz val="10"/>
        <color theme="1"/>
        <rFont val="arial"/>
        <family val="2"/>
      </rPr>
      <t xml:space="preserve"> - Chose TomTom's navigation, maps, and real-time traffic services for their infotainment systems.</t>
    </r>
  </si>
  <si>
    <t>Press releases</t>
  </si>
  <si>
    <t>Employees</t>
  </si>
  <si>
    <r>
      <t xml:space="preserve">Marelli (MBK Partners Ltd) - </t>
    </r>
    <r>
      <rPr>
        <sz val="10"/>
        <color theme="1"/>
        <rFont val="arial"/>
        <family val="2"/>
      </rPr>
      <t>Selects TomTom to enhance in-vehicle infoainment solutions.</t>
    </r>
  </si>
  <si>
    <t>Competitors</t>
  </si>
  <si>
    <r>
      <rPr>
        <b/>
        <sz val="10"/>
        <color theme="1"/>
        <rFont val="arial"/>
        <family val="2"/>
      </rPr>
      <t>Independent</t>
    </r>
    <r>
      <rPr>
        <sz val="10"/>
        <color theme="1"/>
        <rFont val="arial"/>
        <family val="2"/>
      </rPr>
      <t xml:space="preserve"> - Focus exclusively on building and maintaining their own mapping databases. Typically own the entire process of data collection, maintenance, and refinement. They often sell this data to companies, including competitors like Google.</t>
    </r>
  </si>
  <si>
    <r>
      <rPr>
        <b/>
        <sz val="10"/>
        <color theme="1"/>
        <rFont val="arial"/>
        <family val="2"/>
      </rPr>
      <t>Not independent</t>
    </r>
    <r>
      <rPr>
        <sz val="10"/>
        <color theme="1"/>
        <rFont val="arial"/>
        <family val="2"/>
      </rPr>
      <t xml:space="preserve"> - Service platform, serves as a foundation for broader business objectives, such as advertising, local business engagment, and integrations with other Google services like search and Android.</t>
    </r>
  </si>
  <si>
    <t>Mapbox</t>
  </si>
  <si>
    <r>
      <rPr>
        <b/>
        <sz val="10"/>
        <color theme="1"/>
        <rFont val="arial"/>
        <family val="2"/>
      </rPr>
      <t>Not independent</t>
    </r>
    <r>
      <rPr>
        <sz val="10"/>
        <color theme="1"/>
        <rFont val="arial"/>
        <family val="2"/>
      </rPr>
      <t xml:space="preserve"> - Builds on OpenStreetMap, supplements it with third-party data, and enhances it with its proprietary tools and customization options.</t>
    </r>
  </si>
  <si>
    <t>Maxar Technologies Inc</t>
  </si>
  <si>
    <t>Apple</t>
  </si>
  <si>
    <t>Google</t>
  </si>
  <si>
    <t>Here Global</t>
  </si>
  <si>
    <t>Terminal</t>
  </si>
  <si>
    <t>Discount</t>
  </si>
  <si>
    <t>NPV</t>
  </si>
  <si>
    <t>Total value</t>
  </si>
  <si>
    <t>Per share</t>
  </si>
  <si>
    <t>Current price</t>
  </si>
  <si>
    <t>Change</t>
  </si>
  <si>
    <t>Interest yield</t>
  </si>
  <si>
    <t>60 billion probes per day</t>
  </si>
  <si>
    <t>600 million vehicles</t>
  </si>
  <si>
    <t>Held for sale</t>
  </si>
  <si>
    <t>Market size</t>
  </si>
  <si>
    <t>million</t>
  </si>
  <si>
    <t>Expected take rate in 2025</t>
  </si>
  <si>
    <t>Take rate</t>
  </si>
  <si>
    <t>Dividends recieved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</si>
</sst>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yy;@"/>
    <numFmt numFmtId="165" formatCode="0\x"/>
  </numFmts>
  <fonts count="5" x14ac:knownFonts="1">
    <font>
      <sz val="10"/>
      <color theme="1"/>
      <name val="arial"/>
      <family val="2"/>
    </font>
    <font>
      <b/>
      <sz val="10"/>
      <color theme="1"/>
      <name val="arial"/>
      <family val="2"/>
    </font>
    <font>
      <sz val="9"/>
      <color indexed="81"/>
      <name val="Tahoma"/>
      <charset val="1"/>
    </font>
    <font>
      <b/>
      <sz val="9"/>
      <color indexed="81"/>
      <name val="Tahoma"/>
      <charset val="1"/>
    </font>
    <font>
      <b/>
      <sz val="10"/>
      <color rgb="FFFF000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20">
    <xf numFmtId="0" fontId="0" fillId="0" borderId="0" xfId="0"/>
    <xf numFmtId="3" fontId="0" fillId="0" borderId="0" xfId="0" applyNumberFormat="1"/>
    <xf numFmtId="3" fontId="0" fillId="0" borderId="0" xfId="0" applyNumberFormat="1" applyAlignment="1">
      <alignment horizontal="right"/>
    </xf>
    <xf numFmtId="9" fontId="0" fillId="0" borderId="0" xfId="0" applyNumberFormat="1"/>
    <xf numFmtId="4" fontId="0" fillId="0" borderId="0" xfId="0" applyNumberFormat="1"/>
    <xf numFmtId="0" fontId="0" fillId="0" borderId="0" xfId="0" applyAlignment="1">
      <alignment horizontal="right"/>
    </xf>
    <xf numFmtId="3" fontId="1" fillId="0" borderId="0" xfId="0" applyNumberFormat="1" applyFont="1"/>
    <xf numFmtId="9" fontId="1" fillId="0" borderId="0" xfId="0" applyNumberFormat="1" applyFont="1"/>
    <xf numFmtId="3" fontId="0" fillId="0" borderId="0" xfId="0" applyNumberFormat="1" applyAlignment="1">
      <alignment horizontal="left"/>
    </xf>
    <xf numFmtId="3" fontId="0" fillId="0" borderId="0" xfId="0" applyNumberFormat="1" applyAlignment="1">
      <alignment horizontal="left" indent="1"/>
    </xf>
    <xf numFmtId="0" fontId="1" fillId="0" borderId="0" xfId="0" applyFont="1"/>
    <xf numFmtId="0" fontId="0" fillId="0" borderId="0" xfId="0" applyAlignment="1">
      <alignment horizontal="left"/>
    </xf>
    <xf numFmtId="164" fontId="0" fillId="0" borderId="0" xfId="0" applyNumberFormat="1"/>
    <xf numFmtId="3" fontId="1" fillId="0" borderId="0" xfId="0" applyNumberFormat="1" applyFont="1" applyAlignment="1">
      <alignment horizontal="right"/>
    </xf>
    <xf numFmtId="9" fontId="0" fillId="0" borderId="0" xfId="0" applyNumberFormat="1" applyAlignment="1">
      <alignment horizontal="right"/>
    </xf>
    <xf numFmtId="0" fontId="0" fillId="2" borderId="0" xfId="0" applyFill="1" applyAlignment="1">
      <alignment horizontal="left"/>
    </xf>
    <xf numFmtId="0" fontId="1" fillId="3" borderId="0" xfId="0" applyFont="1" applyFill="1"/>
    <xf numFmtId="0" fontId="4" fillId="0" borderId="0" xfId="0" applyFont="1"/>
    <xf numFmtId="165"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17</xdr:col>
      <xdr:colOff>19050</xdr:colOff>
      <xdr:row>0</xdr:row>
      <xdr:rowOff>0</xdr:rowOff>
    </xdr:from>
    <xdr:to>
      <xdr:col>17</xdr:col>
      <xdr:colOff>19050</xdr:colOff>
      <xdr:row>105</xdr:row>
      <xdr:rowOff>9525</xdr:rowOff>
    </xdr:to>
    <xdr:cxnSp macro="">
      <xdr:nvCxnSpPr>
        <xdr:cNvPr id="2" name="Straight Arrow Connector 1">
          <a:extLst>
            <a:ext uri="{FF2B5EF4-FFF2-40B4-BE49-F238E27FC236}">
              <a16:creationId xmlns:a16="http://schemas.microsoft.com/office/drawing/2014/main" id="{337C2CFC-9E24-FF83-5A45-C60663FF70E1}"/>
            </a:ext>
          </a:extLst>
        </xdr:cNvPr>
        <xdr:cNvCxnSpPr/>
      </xdr:nvCxnSpPr>
      <xdr:spPr>
        <a:xfrm>
          <a:off x="11210925" y="0"/>
          <a:ext cx="0" cy="16363950"/>
        </a:xfrm>
        <a:prstGeom prst="straightConnector1">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9525</xdr:colOff>
      <xdr:row>0</xdr:row>
      <xdr:rowOff>0</xdr:rowOff>
    </xdr:from>
    <xdr:to>
      <xdr:col>41</xdr:col>
      <xdr:colOff>9525</xdr:colOff>
      <xdr:row>105</xdr:row>
      <xdr:rowOff>9525</xdr:rowOff>
    </xdr:to>
    <xdr:cxnSp macro="">
      <xdr:nvCxnSpPr>
        <xdr:cNvPr id="3" name="Straight Arrow Connector 2">
          <a:extLst>
            <a:ext uri="{FF2B5EF4-FFF2-40B4-BE49-F238E27FC236}">
              <a16:creationId xmlns:a16="http://schemas.microsoft.com/office/drawing/2014/main" id="{79E15D3F-A96B-4792-AE95-4085A173F578}"/>
            </a:ext>
          </a:extLst>
        </xdr:cNvPr>
        <xdr:cNvCxnSpPr/>
      </xdr:nvCxnSpPr>
      <xdr:spPr>
        <a:xfrm>
          <a:off x="25831800" y="0"/>
          <a:ext cx="0" cy="16363950"/>
        </a:xfrm>
        <a:prstGeom prst="straightConnector1">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99586-D1CD-4B00-8F7F-25528DBE8C6F}">
  <dimension ref="B2:P85"/>
  <sheetViews>
    <sheetView topLeftCell="E1" workbookViewId="0">
      <selection activeCell="P18" sqref="P18"/>
    </sheetView>
  </sheetViews>
  <sheetFormatPr defaultRowHeight="12.75" x14ac:dyDescent="0.2"/>
  <cols>
    <col min="1" max="1" width="3.140625" customWidth="1"/>
    <col min="2" max="2" width="26.7109375" bestFit="1" customWidth="1"/>
    <col min="3" max="3" width="20.140625" bestFit="1" customWidth="1"/>
    <col min="13" max="13" width="10.5703125" customWidth="1"/>
  </cols>
  <sheetData>
    <row r="2" spans="2:16" x14ac:dyDescent="0.2">
      <c r="B2" s="10" t="s">
        <v>47</v>
      </c>
      <c r="C2" s="10" t="s">
        <v>48</v>
      </c>
      <c r="I2" t="s">
        <v>33</v>
      </c>
      <c r="J2">
        <v>5.0999999999999996</v>
      </c>
      <c r="M2" t="s">
        <v>174</v>
      </c>
    </row>
    <row r="3" spans="2:16" x14ac:dyDescent="0.2">
      <c r="B3" t="s">
        <v>49</v>
      </c>
      <c r="C3" t="s">
        <v>53</v>
      </c>
      <c r="I3" t="s">
        <v>11</v>
      </c>
      <c r="J3" s="1">
        <v>127.696128</v>
      </c>
      <c r="K3" s="5" t="s">
        <v>32</v>
      </c>
      <c r="M3" t="s">
        <v>175</v>
      </c>
    </row>
    <row r="4" spans="2:16" x14ac:dyDescent="0.2">
      <c r="B4" t="s">
        <v>50</v>
      </c>
      <c r="C4" t="s">
        <v>54</v>
      </c>
      <c r="I4" t="s">
        <v>34</v>
      </c>
      <c r="J4" s="1">
        <f>+J2*J3</f>
        <v>651.2502528</v>
      </c>
      <c r="K4" s="5"/>
    </row>
    <row r="5" spans="2:16" x14ac:dyDescent="0.2">
      <c r="B5" t="s">
        <v>51</v>
      </c>
      <c r="C5" t="s">
        <v>55</v>
      </c>
      <c r="I5" t="s">
        <v>35</v>
      </c>
      <c r="J5" s="1">
        <v>264</v>
      </c>
      <c r="K5" s="5" t="s">
        <v>32</v>
      </c>
      <c r="M5" s="10" t="s">
        <v>177</v>
      </c>
      <c r="O5" t="s">
        <v>178</v>
      </c>
    </row>
    <row r="6" spans="2:16" x14ac:dyDescent="0.2">
      <c r="B6" t="s">
        <v>52</v>
      </c>
      <c r="C6" t="s">
        <v>56</v>
      </c>
      <c r="I6" t="s">
        <v>36</v>
      </c>
      <c r="J6" s="1">
        <v>0</v>
      </c>
      <c r="K6" s="5" t="s">
        <v>32</v>
      </c>
      <c r="M6" t="s">
        <v>39</v>
      </c>
      <c r="O6" s="1">
        <v>1000</v>
      </c>
    </row>
    <row r="7" spans="2:16" x14ac:dyDescent="0.2">
      <c r="I7" t="s">
        <v>37</v>
      </c>
      <c r="J7" s="1">
        <f>+J4-J5+J6</f>
        <v>387.2502528</v>
      </c>
      <c r="K7" s="5"/>
      <c r="M7" t="s">
        <v>40</v>
      </c>
      <c r="O7" s="1">
        <v>2000</v>
      </c>
    </row>
    <row r="8" spans="2:16" x14ac:dyDescent="0.2">
      <c r="J8" s="1">
        <v>65</v>
      </c>
      <c r="M8" t="s">
        <v>38</v>
      </c>
      <c r="O8" s="1">
        <f>+SUM(O6:O7)</f>
        <v>3000</v>
      </c>
    </row>
    <row r="9" spans="2:16" x14ac:dyDescent="0.2">
      <c r="J9" s="18">
        <f>+J7/J8</f>
        <v>5.9576961969230773</v>
      </c>
    </row>
    <row r="10" spans="2:16" x14ac:dyDescent="0.2">
      <c r="B10" s="17" t="s">
        <v>154</v>
      </c>
      <c r="M10" t="s">
        <v>180</v>
      </c>
      <c r="P10" s="3">
        <v>0.4</v>
      </c>
    </row>
    <row r="11" spans="2:16" x14ac:dyDescent="0.2">
      <c r="B11" s="16" t="s">
        <v>95</v>
      </c>
      <c r="M11" t="s">
        <v>179</v>
      </c>
      <c r="P11" s="3">
        <v>0.5</v>
      </c>
    </row>
    <row r="12" spans="2:16" x14ac:dyDescent="0.2">
      <c r="B12" s="15">
        <v>2024</v>
      </c>
    </row>
    <row r="13" spans="2:16" x14ac:dyDescent="0.2">
      <c r="B13" s="10" t="s">
        <v>100</v>
      </c>
    </row>
    <row r="14" spans="2:16" x14ac:dyDescent="0.2">
      <c r="B14" s="10" t="s">
        <v>101</v>
      </c>
    </row>
    <row r="15" spans="2:16" x14ac:dyDescent="0.2">
      <c r="B15" s="10" t="s">
        <v>102</v>
      </c>
    </row>
    <row r="16" spans="2:16" x14ac:dyDescent="0.2">
      <c r="B16" s="10" t="s">
        <v>103</v>
      </c>
    </row>
    <row r="17" spans="2:15" x14ac:dyDescent="0.2">
      <c r="B17" s="10" t="s">
        <v>104</v>
      </c>
      <c r="O17" s="19"/>
    </row>
    <row r="18" spans="2:15" x14ac:dyDescent="0.2">
      <c r="B18" s="10" t="s">
        <v>105</v>
      </c>
    </row>
    <row r="19" spans="2:15" x14ac:dyDescent="0.2">
      <c r="B19" s="10" t="s">
        <v>156</v>
      </c>
    </row>
    <row r="20" spans="2:15" x14ac:dyDescent="0.2">
      <c r="B20" s="10" t="s">
        <v>106</v>
      </c>
    </row>
    <row r="21" spans="2:15" x14ac:dyDescent="0.2">
      <c r="B21" s="10" t="s">
        <v>107</v>
      </c>
    </row>
    <row r="22" spans="2:15" x14ac:dyDescent="0.2">
      <c r="B22" s="10" t="s">
        <v>108</v>
      </c>
    </row>
    <row r="23" spans="2:15" x14ac:dyDescent="0.2">
      <c r="B23" s="15">
        <v>2023</v>
      </c>
    </row>
    <row r="24" spans="2:15" x14ac:dyDescent="0.2">
      <c r="B24" s="10" t="s">
        <v>112</v>
      </c>
    </row>
    <row r="25" spans="2:15" x14ac:dyDescent="0.2">
      <c r="B25" s="10" t="s">
        <v>113</v>
      </c>
    </row>
    <row r="26" spans="2:15" x14ac:dyDescent="0.2">
      <c r="B26" s="10" t="s">
        <v>114</v>
      </c>
    </row>
    <row r="27" spans="2:15" x14ac:dyDescent="0.2">
      <c r="B27" s="10" t="s">
        <v>115</v>
      </c>
    </row>
    <row r="28" spans="2:15" x14ac:dyDescent="0.2">
      <c r="B28" s="10" t="s">
        <v>116</v>
      </c>
    </row>
    <row r="29" spans="2:15" x14ac:dyDescent="0.2">
      <c r="B29" s="10" t="s">
        <v>117</v>
      </c>
    </row>
    <row r="30" spans="2:15" x14ac:dyDescent="0.2">
      <c r="B30" s="10" t="s">
        <v>118</v>
      </c>
    </row>
    <row r="31" spans="2:15" x14ac:dyDescent="0.2">
      <c r="B31" s="15">
        <v>2022</v>
      </c>
    </row>
    <row r="32" spans="2:15" x14ac:dyDescent="0.2">
      <c r="B32" t="s">
        <v>120</v>
      </c>
    </row>
    <row r="33" spans="2:2" x14ac:dyDescent="0.2">
      <c r="B33" s="10" t="s">
        <v>121</v>
      </c>
    </row>
    <row r="34" spans="2:2" x14ac:dyDescent="0.2">
      <c r="B34" s="10" t="s">
        <v>122</v>
      </c>
    </row>
    <row r="35" spans="2:2" x14ac:dyDescent="0.2">
      <c r="B35" t="s">
        <v>123</v>
      </c>
    </row>
    <row r="36" spans="2:2" x14ac:dyDescent="0.2">
      <c r="B36" t="s">
        <v>124</v>
      </c>
    </row>
    <row r="37" spans="2:2" x14ac:dyDescent="0.2">
      <c r="B37" s="15">
        <v>2021</v>
      </c>
    </row>
    <row r="38" spans="2:2" x14ac:dyDescent="0.2">
      <c r="B38" t="s">
        <v>127</v>
      </c>
    </row>
    <row r="39" spans="2:2" x14ac:dyDescent="0.2">
      <c r="B39" s="11" t="s">
        <v>128</v>
      </c>
    </row>
    <row r="40" spans="2:2" x14ac:dyDescent="0.2">
      <c r="B40" s="11" t="s">
        <v>129</v>
      </c>
    </row>
    <row r="41" spans="2:2" x14ac:dyDescent="0.2">
      <c r="B41" t="s">
        <v>130</v>
      </c>
    </row>
    <row r="42" spans="2:2" x14ac:dyDescent="0.2">
      <c r="B42" s="15">
        <v>2020</v>
      </c>
    </row>
    <row r="43" spans="2:2" x14ac:dyDescent="0.2">
      <c r="B43" t="s">
        <v>138</v>
      </c>
    </row>
    <row r="44" spans="2:2" x14ac:dyDescent="0.2">
      <c r="B44" s="11" t="s">
        <v>139</v>
      </c>
    </row>
    <row r="45" spans="2:2" x14ac:dyDescent="0.2">
      <c r="B45" s="11" t="s">
        <v>140</v>
      </c>
    </row>
    <row r="46" spans="2:2" x14ac:dyDescent="0.2">
      <c r="B46" s="11" t="s">
        <v>141</v>
      </c>
    </row>
    <row r="47" spans="2:2" x14ac:dyDescent="0.2">
      <c r="B47" s="11" t="s">
        <v>142</v>
      </c>
    </row>
    <row r="48" spans="2:2" x14ac:dyDescent="0.2">
      <c r="B48" s="10" t="s">
        <v>143</v>
      </c>
    </row>
    <row r="49" spans="2:2" x14ac:dyDescent="0.2">
      <c r="B49" s="10" t="s">
        <v>144</v>
      </c>
    </row>
    <row r="50" spans="2:2" x14ac:dyDescent="0.2">
      <c r="B50" s="11" t="s">
        <v>145</v>
      </c>
    </row>
    <row r="51" spans="2:2" x14ac:dyDescent="0.2">
      <c r="B51" s="11" t="s">
        <v>146</v>
      </c>
    </row>
    <row r="53" spans="2:2" x14ac:dyDescent="0.2">
      <c r="B53" s="16" t="s">
        <v>39</v>
      </c>
    </row>
    <row r="54" spans="2:2" x14ac:dyDescent="0.2">
      <c r="B54" s="15">
        <v>2024</v>
      </c>
    </row>
    <row r="55" spans="2:2" x14ac:dyDescent="0.2">
      <c r="B55" s="10" t="s">
        <v>109</v>
      </c>
    </row>
    <row r="56" spans="2:2" x14ac:dyDescent="0.2">
      <c r="B56" s="10" t="s">
        <v>110</v>
      </c>
    </row>
    <row r="57" spans="2:2" x14ac:dyDescent="0.2">
      <c r="B57" s="10" t="s">
        <v>111</v>
      </c>
    </row>
    <row r="58" spans="2:2" x14ac:dyDescent="0.2">
      <c r="B58" s="15">
        <v>2023</v>
      </c>
    </row>
    <row r="59" spans="2:2" x14ac:dyDescent="0.2">
      <c r="B59" s="10" t="s">
        <v>119</v>
      </c>
    </row>
    <row r="60" spans="2:2" x14ac:dyDescent="0.2">
      <c r="B60" s="11">
        <v>2022</v>
      </c>
    </row>
    <row r="61" spans="2:2" x14ac:dyDescent="0.2">
      <c r="B61" t="s">
        <v>125</v>
      </c>
    </row>
    <row r="62" spans="2:2" x14ac:dyDescent="0.2">
      <c r="B62" t="s">
        <v>126</v>
      </c>
    </row>
    <row r="63" spans="2:2" x14ac:dyDescent="0.2">
      <c r="B63" s="15">
        <v>2021</v>
      </c>
    </row>
    <row r="64" spans="2:2" x14ac:dyDescent="0.2">
      <c r="B64" t="s">
        <v>131</v>
      </c>
    </row>
    <row r="65" spans="2:2" x14ac:dyDescent="0.2">
      <c r="B65" t="s">
        <v>132</v>
      </c>
    </row>
    <row r="66" spans="2:2" x14ac:dyDescent="0.2">
      <c r="B66" t="s">
        <v>133</v>
      </c>
    </row>
    <row r="67" spans="2:2" x14ac:dyDescent="0.2">
      <c r="B67" t="s">
        <v>134</v>
      </c>
    </row>
    <row r="68" spans="2:2" x14ac:dyDescent="0.2">
      <c r="B68" t="s">
        <v>135</v>
      </c>
    </row>
    <row r="69" spans="2:2" x14ac:dyDescent="0.2">
      <c r="B69" t="s">
        <v>136</v>
      </c>
    </row>
    <row r="70" spans="2:2" x14ac:dyDescent="0.2">
      <c r="B70" t="s">
        <v>137</v>
      </c>
    </row>
    <row r="71" spans="2:2" x14ac:dyDescent="0.2">
      <c r="B71" s="15">
        <v>2020</v>
      </c>
    </row>
    <row r="72" spans="2:2" x14ac:dyDescent="0.2">
      <c r="B72" t="s">
        <v>147</v>
      </c>
    </row>
    <row r="73" spans="2:2" x14ac:dyDescent="0.2">
      <c r="B73" t="s">
        <v>148</v>
      </c>
    </row>
    <row r="74" spans="2:2" x14ac:dyDescent="0.2">
      <c r="B74" t="s">
        <v>149</v>
      </c>
    </row>
    <row r="75" spans="2:2" x14ac:dyDescent="0.2">
      <c r="B75" t="s">
        <v>150</v>
      </c>
    </row>
    <row r="76" spans="2:2" x14ac:dyDescent="0.2">
      <c r="B76" t="s">
        <v>151</v>
      </c>
    </row>
    <row r="77" spans="2:2" x14ac:dyDescent="0.2">
      <c r="B77" t="s">
        <v>152</v>
      </c>
    </row>
    <row r="78" spans="2:2" x14ac:dyDescent="0.2">
      <c r="B78" t="s">
        <v>153</v>
      </c>
    </row>
    <row r="80" spans="2:2" x14ac:dyDescent="0.2">
      <c r="B80" s="17" t="s">
        <v>157</v>
      </c>
    </row>
    <row r="81" spans="2:3" x14ac:dyDescent="0.2">
      <c r="B81" s="10" t="s">
        <v>165</v>
      </c>
      <c r="C81" t="s">
        <v>158</v>
      </c>
    </row>
    <row r="82" spans="2:3" x14ac:dyDescent="0.2">
      <c r="B82" s="10" t="s">
        <v>164</v>
      </c>
      <c r="C82" t="s">
        <v>159</v>
      </c>
    </row>
    <row r="83" spans="2:3" x14ac:dyDescent="0.2">
      <c r="B83" s="10" t="s">
        <v>160</v>
      </c>
      <c r="C83" t="s">
        <v>161</v>
      </c>
    </row>
    <row r="84" spans="2:3" x14ac:dyDescent="0.2">
      <c r="B84" s="10" t="s">
        <v>162</v>
      </c>
    </row>
    <row r="85" spans="2:3" x14ac:dyDescent="0.2">
      <c r="B85" s="10" t="s">
        <v>163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6E18A-68F3-4B59-A864-6DD4EC34DB81}">
  <dimension ref="A1:EV98"/>
  <sheetViews>
    <sheetView tabSelected="1" workbookViewId="0">
      <pane xSplit="1" ySplit="2" topLeftCell="AH3" activePane="bottomRight" state="frozen"/>
      <selection pane="topRight" activeCell="B1" sqref="B1"/>
      <selection pane="bottomLeft" activeCell="A3" sqref="A3"/>
      <selection pane="bottomRight" activeCell="AQ8" sqref="AQ8"/>
    </sheetView>
  </sheetViews>
  <sheetFormatPr defaultRowHeight="12.75" x14ac:dyDescent="0.2"/>
  <cols>
    <col min="1" max="1" width="21.5703125" style="1" bestFit="1" customWidth="1"/>
    <col min="2" max="40" width="9.140625" style="1"/>
    <col min="41" max="41" width="10.140625" style="1" bestFit="1" customWidth="1"/>
    <col min="42" max="52" width="9.140625" style="1"/>
    <col min="53" max="53" width="11.5703125" style="1" bestFit="1" customWidth="1"/>
    <col min="54" max="16384" width="9.140625" style="1"/>
  </cols>
  <sheetData>
    <row r="1" spans="1:51" s="12" customFormat="1" x14ac:dyDescent="0.2">
      <c r="J1" s="12">
        <v>45016</v>
      </c>
      <c r="K1" s="12">
        <v>45107</v>
      </c>
      <c r="L1" s="12">
        <v>45199</v>
      </c>
      <c r="M1" s="12">
        <v>45291</v>
      </c>
      <c r="N1" s="12">
        <v>45382</v>
      </c>
      <c r="O1" s="12">
        <v>45473</v>
      </c>
      <c r="P1" s="12">
        <v>45565</v>
      </c>
      <c r="Q1" s="12">
        <v>45657</v>
      </c>
    </row>
    <row r="2" spans="1:51" x14ac:dyDescent="0.2">
      <c r="A2" s="2"/>
      <c r="B2" s="2" t="s">
        <v>17</v>
      </c>
      <c r="C2" s="2" t="s">
        <v>20</v>
      </c>
      <c r="D2" s="2" t="s">
        <v>21</v>
      </c>
      <c r="E2" s="2" t="s">
        <v>22</v>
      </c>
      <c r="F2" s="2" t="s">
        <v>23</v>
      </c>
      <c r="G2" s="2" t="s">
        <v>18</v>
      </c>
      <c r="H2" s="2" t="s">
        <v>19</v>
      </c>
      <c r="I2" s="2" t="s">
        <v>24</v>
      </c>
      <c r="J2" s="2" t="s">
        <v>25</v>
      </c>
      <c r="K2" s="2" t="s">
        <v>26</v>
      </c>
      <c r="L2" s="2" t="s">
        <v>27</v>
      </c>
      <c r="M2" s="2" t="s">
        <v>28</v>
      </c>
      <c r="N2" s="2" t="s">
        <v>29</v>
      </c>
      <c r="O2" s="2" t="s">
        <v>30</v>
      </c>
      <c r="P2" s="2" t="s">
        <v>31</v>
      </c>
      <c r="Q2" s="2" t="s">
        <v>32</v>
      </c>
      <c r="R2" s="2"/>
      <c r="S2" s="2"/>
      <c r="T2" s="2"/>
      <c r="U2" s="5">
        <v>2004</v>
      </c>
      <c r="V2" s="5">
        <v>2005</v>
      </c>
      <c r="W2" s="5">
        <v>2006</v>
      </c>
      <c r="X2" s="5">
        <v>2007</v>
      </c>
      <c r="Y2" s="5">
        <v>2008</v>
      </c>
      <c r="Z2" s="5">
        <v>2009</v>
      </c>
      <c r="AA2" s="5">
        <v>2010</v>
      </c>
      <c r="AB2" s="5">
        <v>2011</v>
      </c>
      <c r="AC2" s="5">
        <v>2012</v>
      </c>
      <c r="AD2">
        <v>2013</v>
      </c>
      <c r="AE2">
        <v>2014</v>
      </c>
      <c r="AF2">
        <f>+AE2+1</f>
        <v>2015</v>
      </c>
      <c r="AG2">
        <f t="shared" ref="AG2:AY2" si="0">+AF2+1</f>
        <v>2016</v>
      </c>
      <c r="AH2">
        <f t="shared" si="0"/>
        <v>2017</v>
      </c>
      <c r="AI2">
        <f t="shared" si="0"/>
        <v>2018</v>
      </c>
      <c r="AJ2">
        <f t="shared" si="0"/>
        <v>2019</v>
      </c>
      <c r="AK2">
        <f t="shared" si="0"/>
        <v>2020</v>
      </c>
      <c r="AL2">
        <f t="shared" si="0"/>
        <v>2021</v>
      </c>
      <c r="AM2">
        <f t="shared" si="0"/>
        <v>2022</v>
      </c>
      <c r="AN2">
        <f t="shared" si="0"/>
        <v>2023</v>
      </c>
      <c r="AO2">
        <f t="shared" si="0"/>
        <v>2024</v>
      </c>
      <c r="AP2">
        <f t="shared" si="0"/>
        <v>2025</v>
      </c>
      <c r="AQ2">
        <f t="shared" si="0"/>
        <v>2026</v>
      </c>
      <c r="AR2">
        <f t="shared" si="0"/>
        <v>2027</v>
      </c>
      <c r="AS2">
        <f t="shared" si="0"/>
        <v>2028</v>
      </c>
      <c r="AT2">
        <f t="shared" si="0"/>
        <v>2029</v>
      </c>
      <c r="AU2">
        <f t="shared" si="0"/>
        <v>2030</v>
      </c>
      <c r="AV2">
        <f t="shared" si="0"/>
        <v>2031</v>
      </c>
      <c r="AW2">
        <f t="shared" si="0"/>
        <v>2032</v>
      </c>
      <c r="AX2">
        <f t="shared" si="0"/>
        <v>2033</v>
      </c>
      <c r="AY2">
        <f t="shared" si="0"/>
        <v>2034</v>
      </c>
    </row>
    <row r="3" spans="1:51" s="13" customFormat="1" x14ac:dyDescent="0.2">
      <c r="A3" s="6" t="s">
        <v>93</v>
      </c>
      <c r="AJ3" s="13">
        <v>1800</v>
      </c>
      <c r="AK3" s="13">
        <v>1800</v>
      </c>
      <c r="AL3" s="13">
        <v>1900</v>
      </c>
      <c r="AM3" s="13">
        <v>2400</v>
      </c>
      <c r="AN3" s="13">
        <v>2500</v>
      </c>
      <c r="AO3" s="13">
        <v>2100</v>
      </c>
    </row>
    <row r="4" spans="1:51" s="14" customFormat="1" x14ac:dyDescent="0.2">
      <c r="A4" s="3" t="s">
        <v>94</v>
      </c>
      <c r="AK4" s="14">
        <v>0.16</v>
      </c>
      <c r="AL4" s="14">
        <v>0.14000000000000001</v>
      </c>
      <c r="AM4" s="14">
        <v>0.12</v>
      </c>
      <c r="AN4" s="14">
        <v>0.13</v>
      </c>
      <c r="AO4" s="14">
        <v>0.14000000000000001</v>
      </c>
      <c r="AP4" s="14">
        <v>0.14000000000000001</v>
      </c>
      <c r="AQ4" s="14">
        <v>0.14000000000000001</v>
      </c>
      <c r="AR4" s="14">
        <v>0.14000000000000001</v>
      </c>
      <c r="AS4" s="14">
        <v>0.14000000000000001</v>
      </c>
      <c r="AT4" s="14">
        <v>0.14000000000000001</v>
      </c>
      <c r="AU4" s="14">
        <v>0.14000000000000001</v>
      </c>
      <c r="AV4" s="14">
        <v>0.14000000000000001</v>
      </c>
      <c r="AW4" s="14">
        <v>0.14000000000000001</v>
      </c>
      <c r="AX4" s="14">
        <v>0.14000000000000001</v>
      </c>
      <c r="AY4" s="14">
        <v>0.14000000000000001</v>
      </c>
    </row>
    <row r="5" spans="1:51" x14ac:dyDescent="0.2">
      <c r="A5" s="2"/>
      <c r="B5" s="2"/>
      <c r="C5" s="2"/>
      <c r="D5" s="2"/>
      <c r="E5" s="2"/>
      <c r="F5" s="2"/>
      <c r="G5" s="2"/>
      <c r="H5" s="2"/>
      <c r="I5" s="2"/>
      <c r="J5" s="2"/>
      <c r="K5" s="2"/>
      <c r="L5" s="2"/>
      <c r="M5" s="2"/>
      <c r="N5" s="2"/>
      <c r="O5" s="2"/>
      <c r="P5" s="2"/>
      <c r="Q5" s="2"/>
      <c r="R5" s="2"/>
      <c r="S5" s="2"/>
      <c r="T5" s="2"/>
      <c r="U5" s="2"/>
      <c r="V5" s="2"/>
      <c r="W5" s="2"/>
      <c r="X5" s="2"/>
      <c r="Y5" s="2"/>
      <c r="Z5" s="2"/>
      <c r="AA5" s="2"/>
      <c r="AB5" s="2"/>
      <c r="AC5" s="2"/>
      <c r="AE5"/>
      <c r="AF5"/>
      <c r="AG5"/>
      <c r="AH5"/>
      <c r="AI5"/>
      <c r="AJ5"/>
      <c r="AK5">
        <f t="shared" ref="AK5:AP5" si="1">+AJ3*AK4</f>
        <v>288</v>
      </c>
      <c r="AL5">
        <f t="shared" si="1"/>
        <v>252.00000000000003</v>
      </c>
      <c r="AM5">
        <f t="shared" si="1"/>
        <v>228</v>
      </c>
      <c r="AN5">
        <f t="shared" si="1"/>
        <v>312</v>
      </c>
      <c r="AO5">
        <f t="shared" si="1"/>
        <v>350.00000000000006</v>
      </c>
      <c r="AP5">
        <f t="shared" si="1"/>
        <v>294</v>
      </c>
      <c r="AQ5"/>
      <c r="AR5"/>
      <c r="AS5"/>
      <c r="AT5"/>
      <c r="AU5"/>
      <c r="AV5"/>
      <c r="AW5"/>
      <c r="AX5"/>
      <c r="AY5"/>
    </row>
    <row r="6" spans="1:51" s="2" customFormat="1" x14ac:dyDescent="0.2">
      <c r="A6" s="8" t="s">
        <v>98</v>
      </c>
      <c r="AE6" s="5"/>
      <c r="AF6" s="5"/>
      <c r="AG6" s="5"/>
      <c r="AH6" s="5"/>
      <c r="AI6" s="5"/>
      <c r="AJ6" s="5"/>
      <c r="AK6" s="5"/>
      <c r="AL6" s="5"/>
      <c r="AM6" s="5"/>
      <c r="AN6" s="5"/>
      <c r="AO6" s="5"/>
      <c r="AP6" s="5"/>
      <c r="AQ6" s="5"/>
      <c r="AR6" s="5"/>
      <c r="AS6" s="5"/>
      <c r="AT6" s="5"/>
      <c r="AU6" s="5"/>
      <c r="AV6" s="5"/>
      <c r="AW6" s="5"/>
      <c r="AX6" s="5"/>
      <c r="AY6" s="5"/>
    </row>
    <row r="7" spans="1:51" s="2" customFormat="1" x14ac:dyDescent="0.2">
      <c r="A7" s="1" t="s">
        <v>57</v>
      </c>
      <c r="AH7" s="2">
        <f>+AH12*0.57</f>
        <v>189.91602</v>
      </c>
      <c r="AI7" s="2">
        <f>+AI15*0.64</f>
        <v>439.55072000000001</v>
      </c>
      <c r="AJ7" s="2">
        <f>+AJ15*0.69</f>
        <v>483.55199999999991</v>
      </c>
      <c r="AK7" s="2">
        <f>+AK15*0.83</f>
        <v>438.40600000000001</v>
      </c>
      <c r="AL7" s="2">
        <f>+AL15*0.85</f>
        <v>430.86499999999995</v>
      </c>
      <c r="AM7" s="2">
        <f>+AM15*0.87</f>
        <v>466.58099999999996</v>
      </c>
      <c r="AN7" s="2">
        <f>+AN15*0.89</f>
        <v>520.47200000000009</v>
      </c>
      <c r="AO7" s="2">
        <f>+AO15*0.9</f>
        <v>516.96</v>
      </c>
    </row>
    <row r="8" spans="1:51" s="2" customFormat="1" x14ac:dyDescent="0.2">
      <c r="A8" s="1" t="s">
        <v>58</v>
      </c>
      <c r="AH8" s="2">
        <f>+AH15*0.43</f>
        <v>317.89211999999998</v>
      </c>
      <c r="AI8" s="2">
        <f>+AI15*0.36</f>
        <v>247.24727999999999</v>
      </c>
      <c r="AJ8" s="2">
        <f>+AJ15*0.31</f>
        <v>217.24799999999999</v>
      </c>
      <c r="AK8" s="2">
        <f>+AK15*0.17</f>
        <v>89.794000000000011</v>
      </c>
      <c r="AL8" s="2">
        <f>+AL15*0.15</f>
        <v>76.034999999999997</v>
      </c>
      <c r="AM8" s="2">
        <f>+AM15*0.13</f>
        <v>69.718999999999994</v>
      </c>
      <c r="AN8" s="2">
        <f>+AN15*0.11</f>
        <v>64.328000000000003</v>
      </c>
      <c r="AO8" s="2">
        <f>+AO15*0.1</f>
        <v>57.44</v>
      </c>
    </row>
    <row r="9" spans="1:51" s="2" customFormat="1" x14ac:dyDescent="0.2">
      <c r="A9" s="8"/>
      <c r="AE9" s="5"/>
      <c r="AF9" s="5"/>
      <c r="AG9" s="5"/>
      <c r="AH9" s="5"/>
      <c r="AI9" s="5"/>
      <c r="AJ9" s="5"/>
      <c r="AK9" s="5"/>
      <c r="AL9" s="5"/>
      <c r="AM9" s="5"/>
      <c r="AN9" s="5"/>
      <c r="AO9" s="5"/>
      <c r="AP9" s="5"/>
      <c r="AQ9" s="5"/>
      <c r="AR9" s="5"/>
      <c r="AS9" s="5"/>
      <c r="AT9" s="5"/>
      <c r="AU9" s="5"/>
      <c r="AV9" s="5"/>
      <c r="AW9" s="5"/>
      <c r="AX9" s="5"/>
      <c r="AY9" s="5"/>
    </row>
    <row r="10" spans="1:51" x14ac:dyDescent="0.2">
      <c r="A10" s="9" t="s">
        <v>39</v>
      </c>
      <c r="B10" s="2">
        <v>74</v>
      </c>
      <c r="C10" s="2">
        <v>63</v>
      </c>
      <c r="D10" s="2">
        <v>58</v>
      </c>
      <c r="E10" s="2">
        <v>71</v>
      </c>
      <c r="F10" s="2">
        <v>68</v>
      </c>
      <c r="G10" s="2">
        <v>71</v>
      </c>
      <c r="H10" s="2">
        <v>75</v>
      </c>
      <c r="I10" s="2">
        <v>82</v>
      </c>
      <c r="J10" s="2">
        <v>81.099999999999994</v>
      </c>
      <c r="K10" s="2">
        <v>90.9</v>
      </c>
      <c r="L10" s="2">
        <v>82.5</v>
      </c>
      <c r="M10" s="2">
        <v>87.8</v>
      </c>
      <c r="N10" s="2">
        <v>83.3</v>
      </c>
      <c r="O10" s="2">
        <v>87.3</v>
      </c>
      <c r="P10" s="2">
        <v>78.099999999999994</v>
      </c>
      <c r="Q10" s="2">
        <v>79.3</v>
      </c>
      <c r="R10" s="2"/>
      <c r="S10" s="7">
        <f>(AO10/AK10)^(1/5)-1</f>
        <v>7.6200286521335148E-2</v>
      </c>
      <c r="T10" s="2"/>
      <c r="U10" s="2"/>
      <c r="V10" s="2"/>
      <c r="W10" s="2"/>
      <c r="X10" s="2"/>
      <c r="Y10" s="2"/>
      <c r="Z10" s="2"/>
      <c r="AA10" s="2"/>
      <c r="AB10" s="2"/>
      <c r="AC10" s="2"/>
      <c r="AF10" s="1">
        <v>248.001</v>
      </c>
      <c r="AG10" s="1">
        <v>268.95600000000002</v>
      </c>
      <c r="AH10" s="1">
        <v>195.68</v>
      </c>
      <c r="AI10" s="1">
        <v>245.04599999999999</v>
      </c>
      <c r="AJ10" s="1">
        <v>265.7</v>
      </c>
      <c r="AK10" s="1">
        <v>227.2</v>
      </c>
      <c r="AL10" s="1">
        <v>266</v>
      </c>
      <c r="AM10" s="1">
        <v>296</v>
      </c>
      <c r="AN10" s="1">
        <v>342.3</v>
      </c>
      <c r="AO10" s="2">
        <v>328</v>
      </c>
    </row>
    <row r="11" spans="1:51" x14ac:dyDescent="0.2">
      <c r="A11" s="9" t="s">
        <v>40</v>
      </c>
      <c r="B11" s="2">
        <f t="shared" ref="B11:H11" si="2">+B12-B10</f>
        <v>30.799999999999997</v>
      </c>
      <c r="C11" s="2">
        <f t="shared" si="2"/>
        <v>40.200000000000003</v>
      </c>
      <c r="D11" s="2">
        <f t="shared" si="2"/>
        <v>37.400000000000006</v>
      </c>
      <c r="E11" s="2">
        <f t="shared" si="2"/>
        <v>19.599999999999994</v>
      </c>
      <c r="F11" s="2">
        <f t="shared" si="2"/>
        <v>37.200000000000003</v>
      </c>
      <c r="G11" s="2">
        <f t="shared" si="2"/>
        <v>34.299999999999997</v>
      </c>
      <c r="H11" s="2">
        <f t="shared" si="2"/>
        <v>33.299999999999997</v>
      </c>
      <c r="I11" s="2">
        <f>+I12-I10</f>
        <v>35.599999999999994</v>
      </c>
      <c r="J11" s="2">
        <v>36.9</v>
      </c>
      <c r="K11" s="2">
        <v>37.299999999999997</v>
      </c>
      <c r="L11" s="2">
        <v>36.799999999999997</v>
      </c>
      <c r="M11" s="2">
        <v>37.4</v>
      </c>
      <c r="N11" s="2">
        <v>35.299999999999997</v>
      </c>
      <c r="O11" s="2">
        <v>41.4</v>
      </c>
      <c r="P11" s="2">
        <v>41.7</v>
      </c>
      <c r="Q11" s="2">
        <v>42.9</v>
      </c>
      <c r="R11" s="2"/>
      <c r="S11" s="7">
        <f>(AO11/AH11)^(1/8)-1</f>
        <v>2.0229166820877609E-2</v>
      </c>
      <c r="T11" s="2"/>
      <c r="U11" s="2"/>
      <c r="V11" s="2"/>
      <c r="W11" s="2"/>
      <c r="X11" s="2"/>
      <c r="Y11" s="2"/>
      <c r="Z11" s="2"/>
      <c r="AA11" s="2"/>
      <c r="AB11" s="2"/>
      <c r="AC11" s="2"/>
      <c r="AH11" s="1">
        <v>137.506</v>
      </c>
      <c r="AI11" s="1">
        <v>127.226</v>
      </c>
      <c r="AJ11" s="1">
        <v>160.30000000000001</v>
      </c>
      <c r="AK11" s="1">
        <v>165</v>
      </c>
      <c r="AL11" s="1">
        <f>+AL12-AL10</f>
        <v>128</v>
      </c>
      <c r="AM11" s="1">
        <f>+AM12-AM10</f>
        <v>140.39999999999998</v>
      </c>
      <c r="AN11" s="1">
        <v>148.4</v>
      </c>
      <c r="AO11" s="2">
        <v>161.4</v>
      </c>
    </row>
    <row r="12" spans="1:51" x14ac:dyDescent="0.2">
      <c r="A12" s="8" t="s">
        <v>38</v>
      </c>
      <c r="B12" s="2">
        <v>104.8</v>
      </c>
      <c r="C12" s="2">
        <v>103.2</v>
      </c>
      <c r="D12" s="2">
        <v>95.4</v>
      </c>
      <c r="E12" s="2">
        <v>90.6</v>
      </c>
      <c r="F12" s="2">
        <v>105.2</v>
      </c>
      <c r="G12" s="2">
        <v>105.3</v>
      </c>
      <c r="H12" s="2">
        <v>108.3</v>
      </c>
      <c r="I12" s="2">
        <v>117.6</v>
      </c>
      <c r="J12" s="2">
        <f t="shared" ref="J12:Q12" si="3">+SUM(J10:J11)</f>
        <v>118</v>
      </c>
      <c r="K12" s="2">
        <f t="shared" si="3"/>
        <v>128.19999999999999</v>
      </c>
      <c r="L12" s="2">
        <f t="shared" si="3"/>
        <v>119.3</v>
      </c>
      <c r="M12" s="2">
        <f t="shared" si="3"/>
        <v>125.19999999999999</v>
      </c>
      <c r="N12" s="2">
        <f t="shared" si="3"/>
        <v>118.6</v>
      </c>
      <c r="O12" s="2">
        <f t="shared" si="3"/>
        <v>128.69999999999999</v>
      </c>
      <c r="P12" s="2">
        <f t="shared" si="3"/>
        <v>119.8</v>
      </c>
      <c r="Q12" s="2">
        <f t="shared" si="3"/>
        <v>122.19999999999999</v>
      </c>
      <c r="R12" s="2"/>
      <c r="S12" s="7">
        <f>(AO12/AH12)^(1/8)-1</f>
        <v>4.9233510189083951E-2</v>
      </c>
      <c r="T12" s="2"/>
      <c r="U12" s="2"/>
      <c r="V12" s="2"/>
      <c r="W12" s="2"/>
      <c r="X12" s="2"/>
      <c r="Y12" s="2"/>
      <c r="Z12" s="2"/>
      <c r="AA12" s="2"/>
      <c r="AB12" s="2"/>
      <c r="AC12" s="2"/>
      <c r="AH12" s="1">
        <f>+SUM(AH10:AH11)</f>
        <v>333.18600000000004</v>
      </c>
      <c r="AI12" s="1">
        <f>+SUM(AI10:AI11)</f>
        <v>372.27199999999999</v>
      </c>
      <c r="AJ12" s="1">
        <v>426</v>
      </c>
      <c r="AK12" s="1">
        <v>392.2</v>
      </c>
      <c r="AL12" s="1">
        <v>394</v>
      </c>
      <c r="AM12" s="1">
        <v>436.4</v>
      </c>
      <c r="AN12" s="2">
        <f>+SUM(AN10:AN11)</f>
        <v>490.70000000000005</v>
      </c>
      <c r="AO12" s="2">
        <f>+SUM(AO10:AO11)</f>
        <v>489.4</v>
      </c>
      <c r="AP12" s="1">
        <v>465</v>
      </c>
    </row>
    <row r="13" spans="1:51" x14ac:dyDescent="0.2">
      <c r="A13" s="8" t="s">
        <v>99</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F13" s="1">
        <v>134.958</v>
      </c>
      <c r="AG13" s="1">
        <v>155.131</v>
      </c>
      <c r="AN13" s="2"/>
      <c r="AO13" s="2"/>
    </row>
    <row r="14" spans="1:51" x14ac:dyDescent="0.2">
      <c r="A14" s="8" t="s">
        <v>41</v>
      </c>
      <c r="B14" s="2">
        <v>26.4</v>
      </c>
      <c r="C14" s="2">
        <v>29.9</v>
      </c>
      <c r="D14" s="2">
        <v>32.1</v>
      </c>
      <c r="E14" s="2">
        <v>24.6</v>
      </c>
      <c r="F14" s="2">
        <v>23.2</v>
      </c>
      <c r="G14" s="2">
        <v>27.3</v>
      </c>
      <c r="H14" s="2">
        <v>28</v>
      </c>
      <c r="I14" s="2">
        <v>21.4</v>
      </c>
      <c r="J14" s="2">
        <v>22.7</v>
      </c>
      <c r="K14" s="2">
        <v>28.4</v>
      </c>
      <c r="L14" s="2">
        <v>24.9</v>
      </c>
      <c r="M14" s="2">
        <v>18.2</v>
      </c>
      <c r="N14" s="2">
        <v>20.7</v>
      </c>
      <c r="O14" s="2">
        <v>23.4</v>
      </c>
      <c r="P14" s="2">
        <v>20.9</v>
      </c>
      <c r="Q14" s="2">
        <v>20</v>
      </c>
      <c r="R14" s="2"/>
      <c r="S14" s="2"/>
      <c r="T14" s="2"/>
      <c r="U14" s="2"/>
      <c r="V14" s="2"/>
      <c r="W14" s="2"/>
      <c r="X14" s="2"/>
      <c r="Y14" s="2"/>
      <c r="Z14" s="2"/>
      <c r="AA14" s="2"/>
      <c r="AB14" s="2"/>
      <c r="AC14" s="2"/>
      <c r="AF14" s="1">
        <v>623.64800000000002</v>
      </c>
      <c r="AG14" s="1">
        <v>563.24199999999996</v>
      </c>
      <c r="AH14" s="1">
        <v>406.09800000000001</v>
      </c>
      <c r="AI14" s="1">
        <v>314.52600000000001</v>
      </c>
      <c r="AJ14" s="1">
        <v>274.8</v>
      </c>
      <c r="AK14" s="1">
        <v>136</v>
      </c>
      <c r="AL14" s="1">
        <v>112.9</v>
      </c>
      <c r="AM14" s="1">
        <v>99.9</v>
      </c>
      <c r="AN14" s="1">
        <v>94.1</v>
      </c>
      <c r="AO14" s="2">
        <v>85</v>
      </c>
    </row>
    <row r="15" spans="1:51" s="6" customFormat="1" x14ac:dyDescent="0.2">
      <c r="A15" s="6" t="s">
        <v>0</v>
      </c>
      <c r="B15" s="6">
        <f t="shared" ref="B15:Q15" si="4">+SUM(B12:B14)</f>
        <v>131.19999999999999</v>
      </c>
      <c r="C15" s="6">
        <f t="shared" si="4"/>
        <v>133.1</v>
      </c>
      <c r="D15" s="6">
        <f t="shared" si="4"/>
        <v>127.5</v>
      </c>
      <c r="E15" s="6">
        <f t="shared" si="4"/>
        <v>115.19999999999999</v>
      </c>
      <c r="F15" s="6">
        <f t="shared" si="4"/>
        <v>128.4</v>
      </c>
      <c r="G15" s="6">
        <f t="shared" si="4"/>
        <v>132.6</v>
      </c>
      <c r="H15" s="6">
        <f t="shared" si="4"/>
        <v>136.30000000000001</v>
      </c>
      <c r="I15" s="6">
        <f t="shared" si="4"/>
        <v>139</v>
      </c>
      <c r="J15" s="6">
        <f t="shared" si="4"/>
        <v>140.69999999999999</v>
      </c>
      <c r="K15" s="6">
        <f t="shared" si="4"/>
        <v>156.6</v>
      </c>
      <c r="L15" s="6">
        <f t="shared" si="4"/>
        <v>144.19999999999999</v>
      </c>
      <c r="M15" s="6">
        <f t="shared" si="4"/>
        <v>143.39999999999998</v>
      </c>
      <c r="N15" s="6">
        <f t="shared" si="4"/>
        <v>139.29999999999998</v>
      </c>
      <c r="O15" s="6">
        <f t="shared" si="4"/>
        <v>152.1</v>
      </c>
      <c r="P15" s="6">
        <f t="shared" si="4"/>
        <v>140.69999999999999</v>
      </c>
      <c r="Q15" s="6">
        <f t="shared" si="4"/>
        <v>142.19999999999999</v>
      </c>
      <c r="S15" s="7">
        <f>(AY15/AP15)^(1/10)-1</f>
        <v>0.10737883930484204</v>
      </c>
      <c r="U15" s="6">
        <v>192.429</v>
      </c>
      <c r="V15" s="6">
        <v>720.03099999999995</v>
      </c>
      <c r="W15" s="6">
        <v>1363.758</v>
      </c>
      <c r="X15" s="6">
        <v>1737.133</v>
      </c>
      <c r="Y15" s="6">
        <v>1674.0129999999999</v>
      </c>
      <c r="Z15" s="6">
        <v>1479.66</v>
      </c>
      <c r="AA15" s="6">
        <v>1521.0830000000001</v>
      </c>
      <c r="AB15" s="6">
        <v>1273.2170000000001</v>
      </c>
      <c r="AC15" s="6">
        <v>1057.134</v>
      </c>
      <c r="AD15" s="6">
        <v>963.45399999999995</v>
      </c>
      <c r="AE15" s="6">
        <v>950.29200000000003</v>
      </c>
      <c r="AF15" s="6">
        <v>1006.607</v>
      </c>
      <c r="AG15" s="6">
        <v>987.32899999999995</v>
      </c>
      <c r="AH15" s="6">
        <v>739.28399999999999</v>
      </c>
      <c r="AI15" s="6">
        <v>686.798</v>
      </c>
      <c r="AJ15" s="6">
        <f t="shared" ref="AJ15:AO15" si="5">+SUM(AJ12:AJ14)</f>
        <v>700.8</v>
      </c>
      <c r="AK15" s="6">
        <f t="shared" si="5"/>
        <v>528.20000000000005</v>
      </c>
      <c r="AL15" s="6">
        <f t="shared" si="5"/>
        <v>506.9</v>
      </c>
      <c r="AM15" s="6">
        <f t="shared" si="5"/>
        <v>536.29999999999995</v>
      </c>
      <c r="AN15" s="6">
        <f t="shared" si="5"/>
        <v>584.80000000000007</v>
      </c>
      <c r="AO15" s="6">
        <f t="shared" si="5"/>
        <v>574.4</v>
      </c>
      <c r="AP15" s="6">
        <v>535</v>
      </c>
      <c r="AQ15" s="6">
        <f>+AP15*1.12</f>
        <v>599.20000000000005</v>
      </c>
      <c r="AR15" s="6">
        <f t="shared" ref="AR15:AY15" si="6">+AQ15*1.12</f>
        <v>671.10400000000016</v>
      </c>
      <c r="AS15" s="6">
        <f t="shared" si="6"/>
        <v>751.63648000000023</v>
      </c>
      <c r="AT15" s="6">
        <f t="shared" si="6"/>
        <v>841.83285760000035</v>
      </c>
      <c r="AU15" s="6">
        <f t="shared" si="6"/>
        <v>942.8528005120005</v>
      </c>
      <c r="AV15" s="6">
        <f t="shared" si="6"/>
        <v>1055.9951365734407</v>
      </c>
      <c r="AW15" s="6">
        <f t="shared" si="6"/>
        <v>1182.7145529622537</v>
      </c>
      <c r="AX15" s="6">
        <f t="shared" si="6"/>
        <v>1324.6402993177244</v>
      </c>
      <c r="AY15" s="6">
        <f t="shared" si="6"/>
        <v>1483.5971352358515</v>
      </c>
    </row>
    <row r="16" spans="1:51" x14ac:dyDescent="0.2">
      <c r="A16" s="1" t="s">
        <v>1</v>
      </c>
      <c r="B16" s="1">
        <v>24.681000000000001</v>
      </c>
      <c r="C16" s="1">
        <v>30.367000000000001</v>
      </c>
      <c r="D16" s="1">
        <v>23.841999999999999</v>
      </c>
      <c r="E16" s="1">
        <v>20.931000000000001</v>
      </c>
      <c r="F16" s="1">
        <v>19.312999999999999</v>
      </c>
      <c r="G16" s="1">
        <v>22.824999999999999</v>
      </c>
      <c r="H16" s="1">
        <v>26.381</v>
      </c>
      <c r="I16" s="1">
        <v>18.100000000000001</v>
      </c>
      <c r="J16" s="1">
        <v>20.024999999999999</v>
      </c>
      <c r="K16" s="1">
        <v>27.280999999999999</v>
      </c>
      <c r="L16" s="1">
        <v>25.175000000000001</v>
      </c>
      <c r="M16" s="1">
        <v>16.510999999999999</v>
      </c>
      <c r="N16" s="1">
        <v>18.954000000000001</v>
      </c>
      <c r="O16" s="1">
        <v>31.132000000000001</v>
      </c>
      <c r="P16" s="1">
        <v>18.905000000000001</v>
      </c>
      <c r="Q16" s="1">
        <v>17.885000000000002</v>
      </c>
      <c r="U16" s="1">
        <v>107.19199999999999</v>
      </c>
      <c r="V16" s="1">
        <v>409.19400000000002</v>
      </c>
      <c r="W16" s="1">
        <v>785.13099999999997</v>
      </c>
      <c r="X16" s="1">
        <v>972.94899999999996</v>
      </c>
      <c r="Y16" s="1">
        <v>893.30899999999997</v>
      </c>
      <c r="Z16" s="1">
        <v>748.62400000000002</v>
      </c>
      <c r="AA16" s="1">
        <v>777.01800000000003</v>
      </c>
      <c r="AB16" s="1">
        <v>633.54499999999996</v>
      </c>
      <c r="AC16" s="1">
        <v>502.39800000000002</v>
      </c>
      <c r="AD16" s="1">
        <v>442.20699999999999</v>
      </c>
      <c r="AE16" s="1">
        <v>426.96600000000001</v>
      </c>
      <c r="AF16" s="1">
        <v>488.08</v>
      </c>
      <c r="AG16" s="1">
        <v>421.101</v>
      </c>
      <c r="AH16" s="1">
        <v>293.29500000000002</v>
      </c>
      <c r="AI16" s="1">
        <v>211.471</v>
      </c>
      <c r="AJ16" s="1">
        <v>185.55699999999999</v>
      </c>
      <c r="AK16" s="1">
        <v>104.794</v>
      </c>
      <c r="AL16" s="1">
        <v>99.820999999999998</v>
      </c>
      <c r="AM16" s="1">
        <v>86.619</v>
      </c>
      <c r="AN16" s="1">
        <v>88.992000000000004</v>
      </c>
      <c r="AO16" s="1">
        <v>86.846000000000004</v>
      </c>
      <c r="AP16" s="1">
        <f>+AP15*0.12</f>
        <v>64.2</v>
      </c>
      <c r="AQ16" s="1">
        <f>+AQ15*0.12</f>
        <v>71.903999999999996</v>
      </c>
      <c r="AR16" s="1">
        <f t="shared" ref="AR16:AY16" si="7">+AR15*0.12</f>
        <v>80.532480000000021</v>
      </c>
      <c r="AS16" s="1">
        <f t="shared" si="7"/>
        <v>90.196377600000019</v>
      </c>
      <c r="AT16" s="1">
        <f t="shared" si="7"/>
        <v>101.01994291200003</v>
      </c>
      <c r="AU16" s="1">
        <f t="shared" si="7"/>
        <v>113.14233606144006</v>
      </c>
      <c r="AV16" s="1">
        <f t="shared" si="7"/>
        <v>126.71941638881289</v>
      </c>
      <c r="AW16" s="1">
        <f t="shared" si="7"/>
        <v>141.92574635547044</v>
      </c>
      <c r="AX16" s="1">
        <f t="shared" si="7"/>
        <v>158.95683591812693</v>
      </c>
      <c r="AY16" s="1">
        <f t="shared" si="7"/>
        <v>178.03165622830218</v>
      </c>
    </row>
    <row r="17" spans="1:152" x14ac:dyDescent="0.2">
      <c r="A17" s="1" t="s">
        <v>2</v>
      </c>
      <c r="B17" s="1">
        <f t="shared" ref="B17:Q17" si="8">+B15-B16</f>
        <v>106.51899999999999</v>
      </c>
      <c r="C17" s="1">
        <f t="shared" si="8"/>
        <v>102.73299999999999</v>
      </c>
      <c r="D17" s="1">
        <f t="shared" si="8"/>
        <v>103.658</v>
      </c>
      <c r="E17" s="1">
        <f t="shared" si="8"/>
        <v>94.268999999999991</v>
      </c>
      <c r="F17" s="1">
        <f t="shared" si="8"/>
        <v>109.087</v>
      </c>
      <c r="G17" s="1">
        <f t="shared" si="8"/>
        <v>109.77499999999999</v>
      </c>
      <c r="H17" s="1">
        <f t="shared" si="8"/>
        <v>109.91900000000001</v>
      </c>
      <c r="I17" s="1">
        <f t="shared" si="8"/>
        <v>120.9</v>
      </c>
      <c r="J17" s="1">
        <f t="shared" si="8"/>
        <v>120.67499999999998</v>
      </c>
      <c r="K17" s="1">
        <f t="shared" si="8"/>
        <v>129.31899999999999</v>
      </c>
      <c r="L17" s="1">
        <f t="shared" si="8"/>
        <v>119.02499999999999</v>
      </c>
      <c r="M17" s="1">
        <f t="shared" si="8"/>
        <v>126.88899999999998</v>
      </c>
      <c r="N17" s="1">
        <f t="shared" si="8"/>
        <v>120.34599999999998</v>
      </c>
      <c r="O17" s="1">
        <f t="shared" si="8"/>
        <v>120.96799999999999</v>
      </c>
      <c r="P17" s="1">
        <f t="shared" si="8"/>
        <v>121.79499999999999</v>
      </c>
      <c r="Q17" s="1">
        <f t="shared" si="8"/>
        <v>124.31499999999998</v>
      </c>
      <c r="U17" s="1">
        <f t="shared" ref="U17:AO17" si="9">+U15-U16</f>
        <v>85.237000000000009</v>
      </c>
      <c r="V17" s="1">
        <f t="shared" si="9"/>
        <v>310.83699999999993</v>
      </c>
      <c r="W17" s="1">
        <f t="shared" si="9"/>
        <v>578.62700000000007</v>
      </c>
      <c r="X17" s="1">
        <f t="shared" si="9"/>
        <v>764.18400000000008</v>
      </c>
      <c r="Y17" s="1">
        <f t="shared" si="9"/>
        <v>780.70399999999995</v>
      </c>
      <c r="Z17" s="1">
        <f t="shared" si="9"/>
        <v>731.03600000000006</v>
      </c>
      <c r="AA17" s="1">
        <f t="shared" si="9"/>
        <v>744.06500000000005</v>
      </c>
      <c r="AB17" s="1">
        <f t="shared" si="9"/>
        <v>639.67200000000014</v>
      </c>
      <c r="AC17" s="1">
        <f t="shared" si="9"/>
        <v>554.73599999999999</v>
      </c>
      <c r="AD17" s="1">
        <f t="shared" si="9"/>
        <v>521.24699999999996</v>
      </c>
      <c r="AE17" s="1">
        <f t="shared" si="9"/>
        <v>523.32600000000002</v>
      </c>
      <c r="AF17" s="1">
        <f t="shared" si="9"/>
        <v>518.52700000000004</v>
      </c>
      <c r="AG17" s="1">
        <f t="shared" si="9"/>
        <v>566.22799999999995</v>
      </c>
      <c r="AH17" s="1">
        <f t="shared" si="9"/>
        <v>445.98899999999998</v>
      </c>
      <c r="AI17" s="1">
        <f t="shared" si="9"/>
        <v>475.327</v>
      </c>
      <c r="AJ17" s="1">
        <f t="shared" si="9"/>
        <v>515.24299999999994</v>
      </c>
      <c r="AK17" s="1">
        <f t="shared" si="9"/>
        <v>423.40600000000006</v>
      </c>
      <c r="AL17" s="1">
        <f t="shared" si="9"/>
        <v>407.07899999999995</v>
      </c>
      <c r="AM17" s="1">
        <f t="shared" si="9"/>
        <v>449.68099999999993</v>
      </c>
      <c r="AN17" s="1">
        <f t="shared" si="9"/>
        <v>495.80800000000005</v>
      </c>
      <c r="AO17" s="1">
        <f t="shared" si="9"/>
        <v>487.55399999999997</v>
      </c>
      <c r="AP17" s="1">
        <f t="shared" ref="AP17" si="10">+AP15-AP16</f>
        <v>470.8</v>
      </c>
      <c r="AQ17" s="1">
        <f t="shared" ref="AQ17" si="11">+AQ15-AQ16</f>
        <v>527.29600000000005</v>
      </c>
      <c r="AR17" s="1">
        <f t="shared" ref="AR17" si="12">+AR15-AR16</f>
        <v>590.57152000000019</v>
      </c>
      <c r="AS17" s="1">
        <f t="shared" ref="AS17" si="13">+AS15-AS16</f>
        <v>661.44010240000023</v>
      </c>
      <c r="AT17" s="1">
        <f t="shared" ref="AT17" si="14">+AT15-AT16</f>
        <v>740.81291468800032</v>
      </c>
      <c r="AU17" s="1">
        <f t="shared" ref="AU17" si="15">+AU15-AU16</f>
        <v>829.71046445056049</v>
      </c>
      <c r="AV17" s="1">
        <f t="shared" ref="AV17" si="16">+AV15-AV16</f>
        <v>929.27572018462786</v>
      </c>
      <c r="AW17" s="1">
        <f t="shared" ref="AW17" si="17">+AW15-AW16</f>
        <v>1040.7888066067833</v>
      </c>
      <c r="AX17" s="1">
        <f t="shared" ref="AX17" si="18">+AX15-AX16</f>
        <v>1165.6834633995975</v>
      </c>
      <c r="AY17" s="1">
        <f t="shared" ref="AY17" si="19">+AY15-AY16</f>
        <v>1305.5654790075494</v>
      </c>
    </row>
    <row r="18" spans="1:152" x14ac:dyDescent="0.2">
      <c r="A18" s="1" t="s">
        <v>3</v>
      </c>
      <c r="B18" s="1">
        <f>53.268+34.831</f>
        <v>88.099000000000004</v>
      </c>
      <c r="C18" s="1">
        <f>55.261+35.839</f>
        <v>91.1</v>
      </c>
      <c r="D18" s="1">
        <f>55.822+37.04</f>
        <v>92.861999999999995</v>
      </c>
      <c r="E18" s="1">
        <f>55.457+38.499</f>
        <v>93.956000000000003</v>
      </c>
      <c r="F18" s="1">
        <f>56.531+39.365</f>
        <v>95.896000000000001</v>
      </c>
      <c r="G18" s="1">
        <f>54.945+43.658</f>
        <v>98.603000000000009</v>
      </c>
      <c r="H18" s="1">
        <f>50.548+45.768</f>
        <v>96.316000000000003</v>
      </c>
      <c r="I18" s="1">
        <f>43.736+42.713</f>
        <v>86.448999999999998</v>
      </c>
      <c r="J18" s="1">
        <f>42.18+42.461</f>
        <v>84.640999999999991</v>
      </c>
      <c r="K18" s="1">
        <f>45.798+49.41</f>
        <v>95.207999999999998</v>
      </c>
      <c r="L18" s="1">
        <f>43.661+47.263</f>
        <v>90.924000000000007</v>
      </c>
      <c r="M18" s="1">
        <f>42.957+45.485</f>
        <v>88.442000000000007</v>
      </c>
      <c r="N18" s="1">
        <f>43.018+45.908</f>
        <v>88.926000000000002</v>
      </c>
      <c r="O18" s="1">
        <f>43.904+46.27</f>
        <v>90.174000000000007</v>
      </c>
      <c r="P18" s="1">
        <f>44.355+46.23</f>
        <v>90.584999999999994</v>
      </c>
      <c r="Q18" s="1">
        <f>45.69+46.736</f>
        <v>92.425999999999988</v>
      </c>
      <c r="U18" s="1">
        <v>4.5540000000000003</v>
      </c>
      <c r="V18" s="1">
        <f>8.949+63.556</f>
        <v>72.504999999999995</v>
      </c>
      <c r="W18" s="1">
        <f>36.244+100.812</f>
        <v>137.05599999999998</v>
      </c>
      <c r="X18" s="1">
        <f>44.214+15.98</f>
        <v>60.194000000000003</v>
      </c>
      <c r="Y18" s="1">
        <f>122.59+47.697</f>
        <v>170.28700000000001</v>
      </c>
      <c r="Z18" s="1">
        <f>139.441+74.998</f>
        <v>214.43900000000002</v>
      </c>
      <c r="AA18" s="1">
        <f>161.875+77.644</f>
        <v>239.51900000000001</v>
      </c>
      <c r="AB18" s="1">
        <f>172.822+84.619</f>
        <v>257.44100000000003</v>
      </c>
      <c r="AC18" s="1">
        <f>166.315+84.011</f>
        <v>250.32599999999999</v>
      </c>
      <c r="AD18" s="1">
        <f>168.155+81.436</f>
        <v>249.59100000000001</v>
      </c>
      <c r="AE18" s="1">
        <f>174.014+88.1</f>
        <v>262.11400000000003</v>
      </c>
      <c r="AF18" s="1">
        <f>185.443+76.694</f>
        <v>262.137</v>
      </c>
      <c r="AG18" s="1">
        <f>190.473+91.526</f>
        <v>281.99900000000002</v>
      </c>
      <c r="AH18" s="1">
        <f>201.979+111.102</f>
        <v>313.08100000000002</v>
      </c>
      <c r="AI18" s="1">
        <f>220.853+108.2</f>
        <v>329.053</v>
      </c>
      <c r="AJ18" s="1">
        <f>322.785+261.194</f>
        <v>583.97900000000004</v>
      </c>
      <c r="AK18" s="1">
        <f>310.878+256.512</f>
        <v>567.39</v>
      </c>
      <c r="AL18" s="1">
        <f>219.808+146.209</f>
        <v>366.017</v>
      </c>
      <c r="AM18" s="1">
        <f>205.76+171.504</f>
        <v>377.26400000000001</v>
      </c>
      <c r="AN18" s="1">
        <f>174.596+184.619</f>
        <v>359.21500000000003</v>
      </c>
      <c r="AO18" s="1">
        <f>176.967+185.144</f>
        <v>362.11099999999999</v>
      </c>
      <c r="AP18" s="1">
        <f>+AO18*0.95</f>
        <v>344.00545</v>
      </c>
      <c r="AQ18" s="1">
        <f t="shared" ref="AQ18:AY18" si="20">+AP18*0.95</f>
        <v>326.80517749999996</v>
      </c>
      <c r="AR18" s="1">
        <f t="shared" si="20"/>
        <v>310.46491862499994</v>
      </c>
      <c r="AS18" s="1">
        <f t="shared" si="20"/>
        <v>294.94167269374992</v>
      </c>
      <c r="AT18" s="1">
        <f t="shared" si="20"/>
        <v>280.19458905906242</v>
      </c>
      <c r="AU18" s="1">
        <f t="shared" si="20"/>
        <v>266.18485960610928</v>
      </c>
      <c r="AV18" s="1">
        <f t="shared" si="20"/>
        <v>252.87561662580381</v>
      </c>
      <c r="AW18" s="1">
        <f t="shared" si="20"/>
        <v>240.23183579451361</v>
      </c>
      <c r="AX18" s="1">
        <f t="shared" si="20"/>
        <v>228.22024400478793</v>
      </c>
      <c r="AY18" s="1">
        <f t="shared" si="20"/>
        <v>216.80923180454852</v>
      </c>
    </row>
    <row r="19" spans="1:152" x14ac:dyDescent="0.2">
      <c r="A19" s="1" t="s">
        <v>43</v>
      </c>
      <c r="B19" s="1">
        <v>10.23</v>
      </c>
      <c r="C19" s="1">
        <v>11.311999999999999</v>
      </c>
      <c r="D19" s="1">
        <v>10.994</v>
      </c>
      <c r="E19" s="1">
        <v>12.645</v>
      </c>
      <c r="F19" s="1">
        <v>10.506</v>
      </c>
      <c r="G19" s="1">
        <v>12.077</v>
      </c>
      <c r="H19" s="1">
        <v>13.568</v>
      </c>
      <c r="I19" s="1">
        <v>14.202</v>
      </c>
      <c r="J19" s="1">
        <v>12.981999999999999</v>
      </c>
      <c r="K19" s="1">
        <v>14.157999999999999</v>
      </c>
      <c r="L19" s="1">
        <v>14.18</v>
      </c>
      <c r="M19" s="1">
        <v>15.76</v>
      </c>
      <c r="N19" s="1">
        <v>13.641999999999999</v>
      </c>
      <c r="O19" s="1">
        <v>14.904999999999999</v>
      </c>
      <c r="P19" s="1">
        <v>14.574999999999999</v>
      </c>
      <c r="Q19" s="1">
        <v>16.93</v>
      </c>
      <c r="U19" s="1">
        <v>19.390999999999998</v>
      </c>
      <c r="V19" s="1">
        <v>38.014000000000003</v>
      </c>
      <c r="W19" s="1">
        <v>80.033000000000001</v>
      </c>
      <c r="X19" s="1">
        <v>137.32499999999999</v>
      </c>
      <c r="Y19" s="1">
        <v>142.97900000000001</v>
      </c>
      <c r="Z19" s="1">
        <v>86.363</v>
      </c>
      <c r="AA19" s="1">
        <v>104.788</v>
      </c>
      <c r="AB19" s="1">
        <v>78.061999999999998</v>
      </c>
      <c r="AC19" s="1">
        <v>57.305</v>
      </c>
      <c r="AD19" s="1">
        <v>62.795999999999999</v>
      </c>
      <c r="AE19" s="1">
        <v>69.558999999999997</v>
      </c>
      <c r="AF19" s="1">
        <v>83.438000000000002</v>
      </c>
      <c r="AG19" s="1">
        <v>80.608999999999995</v>
      </c>
      <c r="AH19" s="1">
        <v>43.790999999999997</v>
      </c>
      <c r="AI19" s="1">
        <v>28.015000000000001</v>
      </c>
      <c r="AJ19" s="1">
        <v>29.436</v>
      </c>
      <c r="AK19" s="1">
        <v>23.643000000000001</v>
      </c>
      <c r="AL19" s="1">
        <v>45.180999999999997</v>
      </c>
      <c r="AM19" s="1">
        <v>50.353000000000002</v>
      </c>
      <c r="AN19" s="1">
        <v>57.08</v>
      </c>
      <c r="AO19" s="1">
        <v>60.052</v>
      </c>
      <c r="AP19" s="1">
        <f>+AO19*1.04</f>
        <v>62.454080000000005</v>
      </c>
      <c r="AQ19" s="1">
        <f t="shared" ref="AQ19:AY19" si="21">+AP19*1.04</f>
        <v>64.952243200000012</v>
      </c>
      <c r="AR19" s="1">
        <f t="shared" si="21"/>
        <v>67.550332928000017</v>
      </c>
      <c r="AS19" s="1">
        <f t="shared" si="21"/>
        <v>70.252346245120023</v>
      </c>
      <c r="AT19" s="1">
        <f t="shared" si="21"/>
        <v>73.062440094924824</v>
      </c>
      <c r="AU19" s="1">
        <f t="shared" si="21"/>
        <v>75.984937698721822</v>
      </c>
      <c r="AV19" s="1">
        <f t="shared" si="21"/>
        <v>79.024335206670699</v>
      </c>
      <c r="AW19" s="1">
        <f t="shared" si="21"/>
        <v>82.185308614937526</v>
      </c>
      <c r="AX19" s="1">
        <f t="shared" si="21"/>
        <v>85.472720959535025</v>
      </c>
      <c r="AY19" s="1">
        <f t="shared" si="21"/>
        <v>88.891629797916423</v>
      </c>
    </row>
    <row r="20" spans="1:152" x14ac:dyDescent="0.2">
      <c r="A20" s="1" t="s">
        <v>42</v>
      </c>
      <c r="B20" s="1">
        <v>22.420999999999999</v>
      </c>
      <c r="C20" s="1">
        <v>21.382999999999999</v>
      </c>
      <c r="D20" s="1">
        <v>22.315000000000001</v>
      </c>
      <c r="E20" s="1">
        <v>22.978999999999999</v>
      </c>
      <c r="F20" s="1">
        <v>22.567</v>
      </c>
      <c r="G20" s="1">
        <v>54.539000000000001</v>
      </c>
      <c r="H20" s="1">
        <v>17.823</v>
      </c>
      <c r="I20" s="1">
        <v>24.791</v>
      </c>
      <c r="J20" s="1">
        <v>20.422999999999998</v>
      </c>
      <c r="K20" s="1">
        <v>23.459</v>
      </c>
      <c r="L20" s="1">
        <v>22.573</v>
      </c>
      <c r="M20" s="1">
        <v>33.026000000000003</v>
      </c>
      <c r="N20" s="1">
        <v>22.677</v>
      </c>
      <c r="O20" s="1">
        <v>21.166</v>
      </c>
      <c r="P20" s="1">
        <v>20.722999999999999</v>
      </c>
      <c r="Q20" s="1">
        <v>21.067</v>
      </c>
      <c r="U20" s="1">
        <v>16.811</v>
      </c>
      <c r="V20" s="1">
        <v>5.2409999999999997</v>
      </c>
      <c r="W20" s="1">
        <v>21.321000000000002</v>
      </c>
      <c r="X20" s="1">
        <v>107.568</v>
      </c>
      <c r="Y20" s="1">
        <v>214.654</v>
      </c>
      <c r="Z20" s="1">
        <v>198.779</v>
      </c>
      <c r="AA20" s="1">
        <v>199.941</v>
      </c>
      <c r="AB20" s="1">
        <v>208.917</v>
      </c>
      <c r="AC20" s="1">
        <v>169.71600000000001</v>
      </c>
      <c r="AD20" s="1">
        <v>183.31399999999999</v>
      </c>
      <c r="AE20" s="1">
        <v>170.53899999999999</v>
      </c>
      <c r="AF20" s="1">
        <v>172.352</v>
      </c>
      <c r="AG20" s="1">
        <v>194.726</v>
      </c>
      <c r="AH20" s="1">
        <v>159.98500000000001</v>
      </c>
      <c r="AI20" s="1">
        <v>115.354</v>
      </c>
      <c r="AJ20" s="1">
        <v>132.744</v>
      </c>
      <c r="AK20" s="1">
        <v>120.068</v>
      </c>
      <c r="AL20" s="1">
        <v>89.097999999999999</v>
      </c>
      <c r="AM20" s="1">
        <v>119.72</v>
      </c>
      <c r="AN20" s="1">
        <v>99.480999999999995</v>
      </c>
      <c r="AO20" s="1">
        <v>85.632999999999996</v>
      </c>
      <c r="AP20" s="1">
        <f>+AO20*1.02</f>
        <v>87.345659999999995</v>
      </c>
      <c r="AQ20" s="1">
        <f t="shared" ref="AQ20:AY20" si="22">+AP20*1.02</f>
        <v>89.09257319999999</v>
      </c>
      <c r="AR20" s="1">
        <f t="shared" si="22"/>
        <v>90.874424663999989</v>
      </c>
      <c r="AS20" s="1">
        <f t="shared" si="22"/>
        <v>92.691913157279984</v>
      </c>
      <c r="AT20" s="1">
        <f t="shared" si="22"/>
        <v>94.545751420425589</v>
      </c>
      <c r="AU20" s="1">
        <f t="shared" si="22"/>
        <v>96.436666448834103</v>
      </c>
      <c r="AV20" s="1">
        <f t="shared" si="22"/>
        <v>98.365399777810794</v>
      </c>
      <c r="AW20" s="1">
        <f t="shared" si="22"/>
        <v>100.33270777336701</v>
      </c>
      <c r="AX20" s="1">
        <f t="shared" si="22"/>
        <v>102.33936192883435</v>
      </c>
      <c r="AY20" s="1">
        <f t="shared" si="22"/>
        <v>104.38614916741103</v>
      </c>
    </row>
    <row r="21" spans="1:152" x14ac:dyDescent="0.2">
      <c r="A21" s="1" t="s">
        <v>4</v>
      </c>
      <c r="B21" s="1">
        <f t="shared" ref="B21:Q21" si="23">+SUM(B18:B20)</f>
        <v>120.75</v>
      </c>
      <c r="C21" s="1">
        <f t="shared" si="23"/>
        <v>123.79499999999999</v>
      </c>
      <c r="D21" s="1">
        <f t="shared" si="23"/>
        <v>126.17099999999999</v>
      </c>
      <c r="E21" s="1">
        <f t="shared" si="23"/>
        <v>129.57999999999998</v>
      </c>
      <c r="F21" s="1">
        <f t="shared" si="23"/>
        <v>128.96899999999999</v>
      </c>
      <c r="G21" s="1">
        <f t="shared" si="23"/>
        <v>165.21899999999999</v>
      </c>
      <c r="H21" s="1">
        <f t="shared" si="23"/>
        <v>127.70699999999999</v>
      </c>
      <c r="I21" s="1">
        <f t="shared" si="23"/>
        <v>125.44199999999999</v>
      </c>
      <c r="J21" s="1">
        <f t="shared" si="23"/>
        <v>118.04599999999999</v>
      </c>
      <c r="K21" s="1">
        <f t="shared" si="23"/>
        <v>132.82499999999999</v>
      </c>
      <c r="L21" s="1">
        <f t="shared" si="23"/>
        <v>127.67700000000002</v>
      </c>
      <c r="M21" s="1">
        <f t="shared" si="23"/>
        <v>137.22800000000001</v>
      </c>
      <c r="N21" s="1">
        <f t="shared" si="23"/>
        <v>125.245</v>
      </c>
      <c r="O21" s="1">
        <f t="shared" si="23"/>
        <v>126.245</v>
      </c>
      <c r="P21" s="1">
        <f t="shared" si="23"/>
        <v>125.883</v>
      </c>
      <c r="Q21" s="1">
        <f t="shared" si="23"/>
        <v>130.423</v>
      </c>
      <c r="U21" s="1">
        <f t="shared" ref="U21:AO21" si="24">+SUM(U18:U20)</f>
        <v>40.756</v>
      </c>
      <c r="V21" s="1">
        <f t="shared" si="24"/>
        <v>115.76</v>
      </c>
      <c r="W21" s="1">
        <f t="shared" si="24"/>
        <v>238.41</v>
      </c>
      <c r="X21" s="1">
        <f t="shared" si="24"/>
        <v>305.08699999999999</v>
      </c>
      <c r="Y21" s="1">
        <f t="shared" si="24"/>
        <v>527.92000000000007</v>
      </c>
      <c r="Z21" s="1">
        <f t="shared" si="24"/>
        <v>499.58100000000002</v>
      </c>
      <c r="AA21" s="1">
        <f t="shared" si="24"/>
        <v>544.24800000000005</v>
      </c>
      <c r="AB21" s="1">
        <f t="shared" si="24"/>
        <v>544.42000000000007</v>
      </c>
      <c r="AC21" s="1">
        <f t="shared" si="24"/>
        <v>477.34699999999998</v>
      </c>
      <c r="AD21" s="1">
        <f t="shared" si="24"/>
        <v>495.70100000000002</v>
      </c>
      <c r="AE21" s="1">
        <f t="shared" si="24"/>
        <v>502.21199999999999</v>
      </c>
      <c r="AF21" s="1">
        <f t="shared" si="24"/>
        <v>517.92700000000002</v>
      </c>
      <c r="AG21" s="1">
        <f t="shared" si="24"/>
        <v>557.33400000000006</v>
      </c>
      <c r="AH21" s="1">
        <f t="shared" si="24"/>
        <v>516.85699999999997</v>
      </c>
      <c r="AI21" s="1">
        <f t="shared" si="24"/>
        <v>472.42199999999997</v>
      </c>
      <c r="AJ21" s="1">
        <f t="shared" si="24"/>
        <v>746.15900000000011</v>
      </c>
      <c r="AK21" s="1">
        <f t="shared" si="24"/>
        <v>711.101</v>
      </c>
      <c r="AL21" s="1">
        <f t="shared" si="24"/>
        <v>500.29599999999999</v>
      </c>
      <c r="AM21" s="1">
        <f t="shared" si="24"/>
        <v>547.33699999999999</v>
      </c>
      <c r="AN21" s="1">
        <f t="shared" si="24"/>
        <v>515.77600000000007</v>
      </c>
      <c r="AO21" s="1">
        <f t="shared" si="24"/>
        <v>507.79599999999999</v>
      </c>
      <c r="AP21" s="1">
        <f t="shared" ref="AP21" si="25">+SUM(AP18:AP20)</f>
        <v>493.80518999999998</v>
      </c>
      <c r="AQ21" s="1">
        <f t="shared" ref="AQ21" si="26">+SUM(AQ18:AQ20)</f>
        <v>480.84999389999996</v>
      </c>
      <c r="AR21" s="1">
        <f t="shared" ref="AR21" si="27">+SUM(AR18:AR20)</f>
        <v>468.88967621699999</v>
      </c>
      <c r="AS21" s="1">
        <f t="shared" ref="AS21" si="28">+SUM(AS18:AS20)</f>
        <v>457.88593209614993</v>
      </c>
      <c r="AT21" s="1">
        <f t="shared" ref="AT21" si="29">+SUM(AT18:AT20)</f>
        <v>447.80278057441279</v>
      </c>
      <c r="AU21" s="1">
        <f t="shared" ref="AU21" si="30">+SUM(AU18:AU20)</f>
        <v>438.6064637536652</v>
      </c>
      <c r="AV21" s="1">
        <f t="shared" ref="AV21" si="31">+SUM(AV18:AV20)</f>
        <v>430.26535161028534</v>
      </c>
      <c r="AW21" s="1">
        <f t="shared" ref="AW21" si="32">+SUM(AW18:AW20)</f>
        <v>422.74985218281813</v>
      </c>
      <c r="AX21" s="1">
        <f t="shared" ref="AX21" si="33">+SUM(AX18:AX20)</f>
        <v>416.03232689315735</v>
      </c>
      <c r="AY21" s="1">
        <f t="shared" ref="AY21" si="34">+SUM(AY18:AY20)</f>
        <v>410.08701076987597</v>
      </c>
    </row>
    <row r="22" spans="1:152" x14ac:dyDescent="0.2">
      <c r="A22" s="1" t="s">
        <v>5</v>
      </c>
      <c r="B22" s="1">
        <f t="shared" ref="B22:Q22" si="35">+B17-B21</f>
        <v>-14.231000000000009</v>
      </c>
      <c r="C22" s="1">
        <f t="shared" si="35"/>
        <v>-21.061999999999998</v>
      </c>
      <c r="D22" s="1">
        <f t="shared" si="35"/>
        <v>-22.512999999999991</v>
      </c>
      <c r="E22" s="1">
        <f t="shared" si="35"/>
        <v>-35.310999999999993</v>
      </c>
      <c r="F22" s="1">
        <f t="shared" si="35"/>
        <v>-19.881999999999991</v>
      </c>
      <c r="G22" s="1">
        <f t="shared" si="35"/>
        <v>-55.444000000000003</v>
      </c>
      <c r="H22" s="1">
        <f t="shared" si="35"/>
        <v>-17.787999999999982</v>
      </c>
      <c r="I22" s="1">
        <f t="shared" si="35"/>
        <v>-4.5419999999999874</v>
      </c>
      <c r="J22" s="1">
        <f t="shared" si="35"/>
        <v>2.6289999999999907</v>
      </c>
      <c r="K22" s="1">
        <f t="shared" si="35"/>
        <v>-3.5060000000000002</v>
      </c>
      <c r="L22" s="1">
        <f t="shared" si="35"/>
        <v>-8.6520000000000294</v>
      </c>
      <c r="M22" s="1">
        <f t="shared" si="35"/>
        <v>-10.339000000000027</v>
      </c>
      <c r="N22" s="1">
        <f t="shared" si="35"/>
        <v>-4.8990000000000293</v>
      </c>
      <c r="O22" s="1">
        <f t="shared" si="35"/>
        <v>-5.2770000000000152</v>
      </c>
      <c r="P22" s="1">
        <f t="shared" si="35"/>
        <v>-4.0880000000000081</v>
      </c>
      <c r="Q22" s="1">
        <f t="shared" si="35"/>
        <v>-6.1080000000000183</v>
      </c>
      <c r="U22" s="1">
        <f t="shared" ref="U22:AO22" si="36">+U17-U21</f>
        <v>44.481000000000009</v>
      </c>
      <c r="V22" s="1">
        <f t="shared" si="36"/>
        <v>195.07699999999994</v>
      </c>
      <c r="W22" s="1">
        <f t="shared" si="36"/>
        <v>340.2170000000001</v>
      </c>
      <c r="X22" s="1">
        <f t="shared" si="36"/>
        <v>459.09700000000009</v>
      </c>
      <c r="Y22" s="1">
        <f t="shared" si="36"/>
        <v>252.78399999999988</v>
      </c>
      <c r="Z22" s="1">
        <f t="shared" si="36"/>
        <v>231.45500000000004</v>
      </c>
      <c r="AA22" s="1">
        <f t="shared" si="36"/>
        <v>199.81700000000001</v>
      </c>
      <c r="AB22" s="1">
        <f t="shared" si="36"/>
        <v>95.252000000000066</v>
      </c>
      <c r="AC22" s="1">
        <f t="shared" si="36"/>
        <v>77.38900000000001</v>
      </c>
      <c r="AD22" s="1">
        <f t="shared" si="36"/>
        <v>25.545999999999935</v>
      </c>
      <c r="AE22" s="1">
        <f t="shared" si="36"/>
        <v>21.114000000000033</v>
      </c>
      <c r="AF22" s="1">
        <f t="shared" si="36"/>
        <v>0.60000000000002274</v>
      </c>
      <c r="AG22" s="1">
        <f t="shared" si="36"/>
        <v>8.8939999999998918</v>
      </c>
      <c r="AH22" s="1">
        <f t="shared" si="36"/>
        <v>-70.867999999999995</v>
      </c>
      <c r="AI22" s="1">
        <f t="shared" si="36"/>
        <v>2.9050000000000296</v>
      </c>
      <c r="AJ22" s="1">
        <f t="shared" si="36"/>
        <v>-230.91600000000017</v>
      </c>
      <c r="AK22" s="1">
        <f t="shared" si="36"/>
        <v>-287.69499999999994</v>
      </c>
      <c r="AL22" s="1">
        <f t="shared" si="36"/>
        <v>-93.217000000000041</v>
      </c>
      <c r="AM22" s="1">
        <f t="shared" si="36"/>
        <v>-97.656000000000063</v>
      </c>
      <c r="AN22" s="1">
        <f t="shared" si="36"/>
        <v>-19.968000000000018</v>
      </c>
      <c r="AO22" s="1">
        <f t="shared" si="36"/>
        <v>-20.242000000000019</v>
      </c>
      <c r="AP22" s="1">
        <f t="shared" ref="AP22" si="37">+AP17-AP21</f>
        <v>-23.00518999999997</v>
      </c>
      <c r="AQ22" s="1">
        <f t="shared" ref="AQ22" si="38">+AQ17-AQ21</f>
        <v>46.446006100000091</v>
      </c>
      <c r="AR22" s="1">
        <f t="shared" ref="AR22" si="39">+AR17-AR21</f>
        <v>121.6818437830002</v>
      </c>
      <c r="AS22" s="1">
        <f t="shared" ref="AS22" si="40">+AS17-AS21</f>
        <v>203.5541703038503</v>
      </c>
      <c r="AT22" s="1">
        <f t="shared" ref="AT22" si="41">+AT17-AT21</f>
        <v>293.01013411358753</v>
      </c>
      <c r="AU22" s="1">
        <f t="shared" ref="AU22" si="42">+AU17-AU21</f>
        <v>391.1040006968953</v>
      </c>
      <c r="AV22" s="1">
        <f t="shared" ref="AV22" si="43">+AV17-AV21</f>
        <v>499.01036857434252</v>
      </c>
      <c r="AW22" s="1">
        <f t="shared" ref="AW22" si="44">+AW17-AW21</f>
        <v>618.03895442396515</v>
      </c>
      <c r="AX22" s="1">
        <f t="shared" ref="AX22" si="45">+AX17-AX21</f>
        <v>749.65113650644014</v>
      </c>
      <c r="AY22" s="1">
        <f t="shared" ref="AY22" si="46">+AY17-AY21</f>
        <v>895.47846823767338</v>
      </c>
    </row>
    <row r="23" spans="1:152" x14ac:dyDescent="0.2">
      <c r="A23" s="1" t="s">
        <v>6</v>
      </c>
      <c r="B23" s="1">
        <v>4.4000000000000004</v>
      </c>
      <c r="C23" s="1">
        <v>-1.764</v>
      </c>
      <c r="D23" s="1">
        <v>2.2130000000000001</v>
      </c>
      <c r="E23" s="1">
        <v>1.48</v>
      </c>
      <c r="F23" s="1">
        <v>-0.27900000000000003</v>
      </c>
      <c r="G23" s="1">
        <v>2.16</v>
      </c>
      <c r="H23" s="1">
        <v>1.8260000000000001</v>
      </c>
      <c r="I23" s="1">
        <v>-0.88900000000000001</v>
      </c>
      <c r="J23" s="1">
        <v>1.5980000000000001</v>
      </c>
      <c r="K23" s="1">
        <v>0.69899999999999995</v>
      </c>
      <c r="L23" s="1">
        <v>3.371</v>
      </c>
      <c r="M23" s="1">
        <v>0.33200000000000002</v>
      </c>
      <c r="N23" s="1">
        <v>2.843</v>
      </c>
      <c r="O23" s="1">
        <v>2.4380000000000002</v>
      </c>
      <c r="P23" s="1">
        <v>2.0179999999999998</v>
      </c>
      <c r="Q23" s="1">
        <v>1.45</v>
      </c>
      <c r="U23" s="1">
        <v>-0.77400000000000002</v>
      </c>
      <c r="V23" s="1">
        <v>14.664</v>
      </c>
      <c r="W23" s="1">
        <v>-24.681000000000001</v>
      </c>
      <c r="X23" s="1">
        <f>19.121-16.33</f>
        <v>2.7910000000000004</v>
      </c>
      <c r="Y23" s="1">
        <f>-52.055+72.148</f>
        <v>20.092999999999996</v>
      </c>
      <c r="Z23" s="1">
        <f>-70.815-41.202</f>
        <v>-112.017</v>
      </c>
      <c r="AA23" s="1">
        <f>-35.064-15.962</f>
        <v>-51.025999999999996</v>
      </c>
      <c r="AB23" s="1">
        <f>-21.862+6.093</f>
        <v>-15.768999999999998</v>
      </c>
      <c r="AC23" s="1">
        <f>-12.084+1.642</f>
        <v>-10.442</v>
      </c>
      <c r="AD23" s="1">
        <f>-2.945-1.619</f>
        <v>-4.5640000000000001</v>
      </c>
      <c r="AE23" s="1">
        <f>+-3.145-3.72</f>
        <v>-6.8650000000000002</v>
      </c>
      <c r="AF23" s="1">
        <f>-0.925-7.343</f>
        <v>-8.2680000000000007</v>
      </c>
      <c r="AG23" s="1">
        <f>-1.371-1.01</f>
        <v>-2.3810000000000002</v>
      </c>
      <c r="AH23" s="1">
        <f>+-1.699+3.748</f>
        <v>2.0490000000000004</v>
      </c>
      <c r="AI23" s="1">
        <f>-1.062+3.555</f>
        <v>2.4930000000000003</v>
      </c>
      <c r="AJ23" s="1">
        <v>-3.4319999999999999</v>
      </c>
      <c r="AK23" s="1">
        <v>-7.3070000000000004</v>
      </c>
      <c r="AL23" s="1">
        <v>6.3289999999999997</v>
      </c>
      <c r="AM23" s="1">
        <v>2.8180000000000001</v>
      </c>
      <c r="AN23" s="1">
        <v>6</v>
      </c>
      <c r="AO23" s="1">
        <v>8.7490000000000006</v>
      </c>
      <c r="AP23" s="1">
        <f>+AO41*0.09</f>
        <v>23.728770000000001</v>
      </c>
      <c r="AQ23" s="1">
        <f t="shared" ref="AQ23:AY23" si="47">+AP41*0.09</f>
        <v>23.780867760000003</v>
      </c>
      <c r="AR23" s="1">
        <f t="shared" si="47"/>
        <v>28.837202677920008</v>
      </c>
      <c r="AS23" s="1">
        <f t="shared" si="47"/>
        <v>39.67457402310626</v>
      </c>
      <c r="AT23" s="1">
        <f t="shared" si="47"/>
        <v>57.187043614647131</v>
      </c>
      <c r="AU23" s="1">
        <f t="shared" si="47"/>
        <v>82.401240411080025</v>
      </c>
      <c r="AV23" s="1">
        <f t="shared" si="47"/>
        <v>116.49361777085424</v>
      </c>
      <c r="AW23" s="1">
        <f t="shared" si="47"/>
        <v>160.8099047877084</v>
      </c>
      <c r="AX23" s="1">
        <f t="shared" si="47"/>
        <v>216.88702265094889</v>
      </c>
      <c r="AY23" s="1">
        <f t="shared" si="47"/>
        <v>286.47777011028091</v>
      </c>
    </row>
    <row r="24" spans="1:152" x14ac:dyDescent="0.2">
      <c r="A24" s="1" t="s">
        <v>7</v>
      </c>
      <c r="B24" s="1">
        <f t="shared" ref="B24:Q24" si="48">+B22+B23</f>
        <v>-9.8310000000000084</v>
      </c>
      <c r="C24" s="1">
        <f t="shared" si="48"/>
        <v>-22.825999999999997</v>
      </c>
      <c r="D24" s="1">
        <f t="shared" si="48"/>
        <v>-20.29999999999999</v>
      </c>
      <c r="E24" s="1">
        <f t="shared" si="48"/>
        <v>-33.830999999999996</v>
      </c>
      <c r="F24" s="1">
        <f t="shared" si="48"/>
        <v>-20.160999999999991</v>
      </c>
      <c r="G24" s="1">
        <f t="shared" si="48"/>
        <v>-53.284000000000006</v>
      </c>
      <c r="H24" s="1">
        <f t="shared" si="48"/>
        <v>-15.961999999999982</v>
      </c>
      <c r="I24" s="1">
        <f t="shared" si="48"/>
        <v>-5.4309999999999876</v>
      </c>
      <c r="J24" s="1">
        <f t="shared" si="48"/>
        <v>4.2269999999999905</v>
      </c>
      <c r="K24" s="1">
        <f t="shared" si="48"/>
        <v>-2.8070000000000004</v>
      </c>
      <c r="L24" s="1">
        <f t="shared" si="48"/>
        <v>-5.281000000000029</v>
      </c>
      <c r="M24" s="1">
        <f t="shared" si="48"/>
        <v>-10.007000000000026</v>
      </c>
      <c r="N24" s="1">
        <f t="shared" si="48"/>
        <v>-2.0560000000000294</v>
      </c>
      <c r="O24" s="1">
        <f t="shared" si="48"/>
        <v>-2.8390000000000151</v>
      </c>
      <c r="P24" s="1">
        <f t="shared" si="48"/>
        <v>-2.0700000000000083</v>
      </c>
      <c r="Q24" s="1">
        <f t="shared" si="48"/>
        <v>-4.6580000000000181</v>
      </c>
      <c r="U24" s="1">
        <f t="shared" ref="U24:AO24" si="49">+U22+U23</f>
        <v>43.707000000000008</v>
      </c>
      <c r="V24" s="1">
        <f t="shared" si="49"/>
        <v>209.74099999999993</v>
      </c>
      <c r="W24" s="1">
        <f t="shared" si="49"/>
        <v>315.53600000000012</v>
      </c>
      <c r="X24" s="1">
        <f t="shared" si="49"/>
        <v>461.88800000000009</v>
      </c>
      <c r="Y24" s="1">
        <f t="shared" si="49"/>
        <v>272.8769999999999</v>
      </c>
      <c r="Z24" s="1">
        <f t="shared" si="49"/>
        <v>119.43800000000005</v>
      </c>
      <c r="AA24" s="1">
        <f t="shared" si="49"/>
        <v>148.791</v>
      </c>
      <c r="AB24" s="1">
        <f t="shared" si="49"/>
        <v>79.483000000000061</v>
      </c>
      <c r="AC24" s="1">
        <f t="shared" si="49"/>
        <v>66.947000000000003</v>
      </c>
      <c r="AD24" s="1">
        <f t="shared" si="49"/>
        <v>20.981999999999935</v>
      </c>
      <c r="AE24" s="1">
        <f t="shared" si="49"/>
        <v>14.249000000000033</v>
      </c>
      <c r="AF24" s="1">
        <f t="shared" si="49"/>
        <v>-7.6679999999999779</v>
      </c>
      <c r="AG24" s="1">
        <f t="shared" si="49"/>
        <v>6.5129999999998915</v>
      </c>
      <c r="AH24" s="1">
        <f t="shared" si="49"/>
        <v>-68.818999999999988</v>
      </c>
      <c r="AI24" s="1">
        <f t="shared" si="49"/>
        <v>5.3980000000000299</v>
      </c>
      <c r="AJ24" s="1">
        <f t="shared" si="49"/>
        <v>-234.34800000000016</v>
      </c>
      <c r="AK24" s="1">
        <f t="shared" si="49"/>
        <v>-295.00199999999995</v>
      </c>
      <c r="AL24" s="1">
        <f t="shared" si="49"/>
        <v>-86.888000000000048</v>
      </c>
      <c r="AM24" s="1">
        <f t="shared" si="49"/>
        <v>-94.838000000000065</v>
      </c>
      <c r="AN24" s="1">
        <f t="shared" si="49"/>
        <v>-13.968000000000018</v>
      </c>
      <c r="AO24" s="1">
        <f t="shared" si="49"/>
        <v>-11.493000000000018</v>
      </c>
      <c r="AP24" s="1">
        <f t="shared" ref="AP24" si="50">+AP22+AP23</f>
        <v>0.72358000000003031</v>
      </c>
      <c r="AQ24" s="1">
        <f t="shared" ref="AQ24" si="51">+AQ22+AQ23</f>
        <v>70.226873860000097</v>
      </c>
      <c r="AR24" s="1">
        <f t="shared" ref="AR24" si="52">+AR22+AR23</f>
        <v>150.51904646092021</v>
      </c>
      <c r="AS24" s="1">
        <f t="shared" ref="AS24" si="53">+AS22+AS23</f>
        <v>243.22874432695656</v>
      </c>
      <c r="AT24" s="1">
        <f t="shared" ref="AT24" si="54">+AT22+AT23</f>
        <v>350.19717772823464</v>
      </c>
      <c r="AU24" s="1">
        <f t="shared" ref="AU24" si="55">+AU22+AU23</f>
        <v>473.50524110797534</v>
      </c>
      <c r="AV24" s="1">
        <f t="shared" ref="AV24" si="56">+AV22+AV23</f>
        <v>615.50398634519672</v>
      </c>
      <c r="AW24" s="1">
        <f t="shared" ref="AW24" si="57">+AW22+AW23</f>
        <v>778.84885921167358</v>
      </c>
      <c r="AX24" s="1">
        <f t="shared" ref="AX24" si="58">+AX22+AX23</f>
        <v>966.53815915738903</v>
      </c>
      <c r="AY24" s="1">
        <f t="shared" ref="AY24" si="59">+AY22+AY23</f>
        <v>1181.9562383479542</v>
      </c>
    </row>
    <row r="25" spans="1:152" x14ac:dyDescent="0.2">
      <c r="A25" s="1" t="s">
        <v>8</v>
      </c>
      <c r="B25" s="1">
        <v>1.641</v>
      </c>
      <c r="C25" s="1">
        <v>-0.79100000000000004</v>
      </c>
      <c r="D25" s="1">
        <v>-0.45200000000000001</v>
      </c>
      <c r="E25" s="1">
        <v>4.907</v>
      </c>
      <c r="F25" s="1">
        <v>1.3779999999999999</v>
      </c>
      <c r="G25" s="1">
        <v>1.67</v>
      </c>
      <c r="H25" s="1">
        <v>1.5249999999999999</v>
      </c>
      <c r="I25" s="1">
        <v>3.367</v>
      </c>
      <c r="J25" s="1">
        <v>1.272</v>
      </c>
      <c r="K25" s="1">
        <v>1.597</v>
      </c>
      <c r="L25" s="1">
        <v>2.5230000000000001</v>
      </c>
      <c r="M25" s="1">
        <v>1.6080000000000001</v>
      </c>
      <c r="N25" s="1">
        <v>2.7970000000000002</v>
      </c>
      <c r="O25" s="1">
        <v>0.44800000000000001</v>
      </c>
      <c r="P25" s="1">
        <v>2.2879999999999998</v>
      </c>
      <c r="Q25" s="1">
        <v>1.107</v>
      </c>
      <c r="U25" s="1">
        <v>14.946</v>
      </c>
      <c r="V25" s="1">
        <v>66.784000000000006</v>
      </c>
      <c r="W25" s="1">
        <v>93.355000000000004</v>
      </c>
      <c r="X25" s="1">
        <v>114.119</v>
      </c>
      <c r="Y25" s="1">
        <v>78.13</v>
      </c>
      <c r="Z25" s="1">
        <v>25.088000000000001</v>
      </c>
      <c r="AA25" s="1">
        <v>26.356000000000002</v>
      </c>
      <c r="AB25" s="1">
        <v>-1.919</v>
      </c>
      <c r="AC25" s="1">
        <v>-68.66</v>
      </c>
      <c r="AD25" s="1">
        <v>4.01</v>
      </c>
      <c r="AE25" s="1">
        <v>-8.032</v>
      </c>
      <c r="AF25" s="1">
        <v>-25.794</v>
      </c>
      <c r="AG25" s="1">
        <v>-4.7089999999999996</v>
      </c>
      <c r="AH25" s="1">
        <v>8.9909999999999997</v>
      </c>
      <c r="AI25" s="1">
        <v>9.2420000000000009</v>
      </c>
      <c r="AJ25" s="1">
        <v>-41.423999999999999</v>
      </c>
      <c r="AK25" s="1">
        <v>-37.378</v>
      </c>
      <c r="AL25" s="1">
        <v>7.7910000000000004</v>
      </c>
      <c r="AM25" s="1">
        <v>7.94</v>
      </c>
      <c r="AN25" s="1">
        <v>7</v>
      </c>
      <c r="AO25" s="1">
        <v>5.7439999999999998</v>
      </c>
      <c r="AP25" s="1">
        <f>+AP24*0.2</f>
        <v>0.14471600000000606</v>
      </c>
      <c r="AQ25" s="1">
        <f t="shared" ref="AQ25:AY25" si="60">+AQ24*0.2</f>
        <v>14.04537477200002</v>
      </c>
      <c r="AR25" s="1">
        <f t="shared" si="60"/>
        <v>30.103809292184042</v>
      </c>
      <c r="AS25" s="1">
        <f t="shared" si="60"/>
        <v>48.645748865391312</v>
      </c>
      <c r="AT25" s="1">
        <f t="shared" si="60"/>
        <v>70.039435545646924</v>
      </c>
      <c r="AU25" s="1">
        <f t="shared" si="60"/>
        <v>94.701048221595073</v>
      </c>
      <c r="AV25" s="1">
        <f t="shared" si="60"/>
        <v>123.10079726903935</v>
      </c>
      <c r="AW25" s="1">
        <f t="shared" si="60"/>
        <v>155.76977184233473</v>
      </c>
      <c r="AX25" s="1">
        <f t="shared" si="60"/>
        <v>193.30763183147781</v>
      </c>
      <c r="AY25" s="1">
        <f t="shared" si="60"/>
        <v>236.39124766959085</v>
      </c>
    </row>
    <row r="26" spans="1:152" x14ac:dyDescent="0.2">
      <c r="A26" s="1" t="s">
        <v>9</v>
      </c>
      <c r="B26" s="1">
        <f t="shared" ref="B26:Q26" si="61">+B24-B25</f>
        <v>-11.472000000000008</v>
      </c>
      <c r="C26" s="1">
        <f t="shared" si="61"/>
        <v>-22.034999999999997</v>
      </c>
      <c r="D26" s="1">
        <f t="shared" si="61"/>
        <v>-19.847999999999988</v>
      </c>
      <c r="E26" s="1">
        <f t="shared" si="61"/>
        <v>-38.738</v>
      </c>
      <c r="F26" s="1">
        <f t="shared" si="61"/>
        <v>-21.538999999999991</v>
      </c>
      <c r="G26" s="1">
        <f t="shared" si="61"/>
        <v>-54.954000000000008</v>
      </c>
      <c r="H26" s="1">
        <f t="shared" si="61"/>
        <v>-17.486999999999981</v>
      </c>
      <c r="I26" s="1">
        <f t="shared" si="61"/>
        <v>-8.7979999999999876</v>
      </c>
      <c r="J26" s="1">
        <f t="shared" si="61"/>
        <v>2.9549999999999903</v>
      </c>
      <c r="K26" s="1">
        <f t="shared" si="61"/>
        <v>-4.4039999999999999</v>
      </c>
      <c r="L26" s="1">
        <f t="shared" si="61"/>
        <v>-7.8040000000000287</v>
      </c>
      <c r="M26" s="1">
        <f t="shared" si="61"/>
        <v>-11.615000000000027</v>
      </c>
      <c r="N26" s="1">
        <f t="shared" si="61"/>
        <v>-4.85300000000003</v>
      </c>
      <c r="O26" s="1">
        <f t="shared" si="61"/>
        <v>-3.287000000000015</v>
      </c>
      <c r="P26" s="1">
        <f t="shared" si="61"/>
        <v>-4.3580000000000076</v>
      </c>
      <c r="Q26" s="1">
        <f t="shared" si="61"/>
        <v>-5.7650000000000183</v>
      </c>
      <c r="U26" s="1">
        <f t="shared" ref="U26:AO26" si="62">+U24-U25</f>
        <v>28.76100000000001</v>
      </c>
      <c r="V26" s="1">
        <f t="shared" si="62"/>
        <v>142.95699999999994</v>
      </c>
      <c r="W26" s="1">
        <f t="shared" si="62"/>
        <v>222.1810000000001</v>
      </c>
      <c r="X26" s="1">
        <f t="shared" si="62"/>
        <v>347.76900000000012</v>
      </c>
      <c r="Y26" s="1">
        <f t="shared" si="62"/>
        <v>194.7469999999999</v>
      </c>
      <c r="Z26" s="1">
        <f t="shared" si="62"/>
        <v>94.350000000000051</v>
      </c>
      <c r="AA26" s="1">
        <f t="shared" si="62"/>
        <v>122.435</v>
      </c>
      <c r="AB26" s="1">
        <f t="shared" si="62"/>
        <v>81.402000000000058</v>
      </c>
      <c r="AC26" s="1">
        <f t="shared" si="62"/>
        <v>135.607</v>
      </c>
      <c r="AD26" s="1">
        <f t="shared" si="62"/>
        <v>16.971999999999937</v>
      </c>
      <c r="AE26" s="1">
        <f t="shared" si="62"/>
        <v>22.281000000000034</v>
      </c>
      <c r="AF26" s="1">
        <f t="shared" si="62"/>
        <v>18.126000000000023</v>
      </c>
      <c r="AG26" s="1">
        <f t="shared" si="62"/>
        <v>11.221999999999891</v>
      </c>
      <c r="AH26" s="1">
        <f t="shared" si="62"/>
        <v>-77.809999999999988</v>
      </c>
      <c r="AI26" s="1">
        <f t="shared" si="62"/>
        <v>-3.843999999999971</v>
      </c>
      <c r="AJ26" s="1">
        <f t="shared" si="62"/>
        <v>-192.92400000000015</v>
      </c>
      <c r="AK26" s="1">
        <f t="shared" si="62"/>
        <v>-257.62399999999997</v>
      </c>
      <c r="AL26" s="1">
        <f t="shared" si="62"/>
        <v>-94.679000000000045</v>
      </c>
      <c r="AM26" s="1">
        <f t="shared" si="62"/>
        <v>-102.77800000000006</v>
      </c>
      <c r="AN26" s="1">
        <f t="shared" si="62"/>
        <v>-20.968000000000018</v>
      </c>
      <c r="AO26" s="1">
        <f t="shared" si="62"/>
        <v>-17.237000000000016</v>
      </c>
      <c r="AP26" s="1">
        <f t="shared" ref="AP26" si="63">+AP24-AP25</f>
        <v>0.57886400000002425</v>
      </c>
      <c r="AQ26" s="1">
        <f t="shared" ref="AQ26" si="64">+AQ24-AQ25</f>
        <v>56.181499088000081</v>
      </c>
      <c r="AR26" s="1">
        <f t="shared" ref="AR26" si="65">+AR24-AR25</f>
        <v>120.41523716873617</v>
      </c>
      <c r="AS26" s="1">
        <f t="shared" ref="AS26" si="66">+AS24-AS25</f>
        <v>194.58299546156525</v>
      </c>
      <c r="AT26" s="1">
        <f t="shared" ref="AT26" si="67">+AT24-AT25</f>
        <v>280.1577421825877</v>
      </c>
      <c r="AU26" s="1">
        <f t="shared" ref="AU26" si="68">+AU24-AU25</f>
        <v>378.80419288638029</v>
      </c>
      <c r="AV26" s="1">
        <f t="shared" ref="AV26" si="69">+AV24-AV25</f>
        <v>492.40318907615739</v>
      </c>
      <c r="AW26" s="1">
        <f t="shared" ref="AW26" si="70">+AW24-AW25</f>
        <v>623.07908736933882</v>
      </c>
      <c r="AX26" s="1">
        <f t="shared" ref="AX26" si="71">+AX24-AX25</f>
        <v>773.23052732591123</v>
      </c>
      <c r="AY26" s="1">
        <f t="shared" ref="AY26" si="72">+AY24-AY25</f>
        <v>945.56499067836342</v>
      </c>
      <c r="AZ26" s="1">
        <f>+AY26*(1+$BB$30)</f>
        <v>917.19804095801248</v>
      </c>
      <c r="BA26" s="1">
        <f t="shared" ref="BA26:DL26" si="73">+AZ26*(1+$BB$30)</f>
        <v>889.68209972927207</v>
      </c>
      <c r="BB26" s="1">
        <f t="shared" si="73"/>
        <v>862.99163673739383</v>
      </c>
      <c r="BC26" s="1">
        <f t="shared" si="73"/>
        <v>837.10188763527196</v>
      </c>
      <c r="BD26" s="1">
        <f t="shared" si="73"/>
        <v>811.98883100621379</v>
      </c>
      <c r="BE26" s="1">
        <f t="shared" si="73"/>
        <v>787.62916607602733</v>
      </c>
      <c r="BF26" s="1">
        <f t="shared" si="73"/>
        <v>764.00029109374645</v>
      </c>
      <c r="BG26" s="1">
        <f t="shared" si="73"/>
        <v>741.08028236093401</v>
      </c>
      <c r="BH26" s="1">
        <f t="shared" si="73"/>
        <v>718.84787389010592</v>
      </c>
      <c r="BI26" s="1">
        <f t="shared" si="73"/>
        <v>697.28243767340268</v>
      </c>
      <c r="BJ26" s="1">
        <f t="shared" si="73"/>
        <v>676.36396454320061</v>
      </c>
      <c r="BK26" s="1">
        <f t="shared" si="73"/>
        <v>656.07304560690454</v>
      </c>
      <c r="BL26" s="1">
        <f t="shared" si="73"/>
        <v>636.39085423869744</v>
      </c>
      <c r="BM26" s="1">
        <f t="shared" si="73"/>
        <v>617.2991286115365</v>
      </c>
      <c r="BN26" s="1">
        <f t="shared" si="73"/>
        <v>598.78015475319035</v>
      </c>
      <c r="BO26" s="1">
        <f t="shared" si="73"/>
        <v>580.81675011059463</v>
      </c>
      <c r="BP26" s="1">
        <f t="shared" si="73"/>
        <v>563.39224760727677</v>
      </c>
      <c r="BQ26" s="1">
        <f t="shared" si="73"/>
        <v>546.49048017905841</v>
      </c>
      <c r="BR26" s="1">
        <f t="shared" si="73"/>
        <v>530.09576577368659</v>
      </c>
      <c r="BS26" s="1">
        <f t="shared" si="73"/>
        <v>514.19289280047599</v>
      </c>
      <c r="BT26" s="1">
        <f t="shared" si="73"/>
        <v>498.7671060164617</v>
      </c>
      <c r="BU26" s="1">
        <f t="shared" si="73"/>
        <v>483.80409283596782</v>
      </c>
      <c r="BV26" s="1">
        <f t="shared" si="73"/>
        <v>469.28997005088877</v>
      </c>
      <c r="BW26" s="1">
        <f t="shared" si="73"/>
        <v>455.21127094936207</v>
      </c>
      <c r="BX26" s="1">
        <f t="shared" si="73"/>
        <v>441.55493282088122</v>
      </c>
      <c r="BY26" s="1">
        <f t="shared" si="73"/>
        <v>428.30828483625476</v>
      </c>
      <c r="BZ26" s="1">
        <f t="shared" si="73"/>
        <v>415.45903629116708</v>
      </c>
      <c r="CA26" s="1">
        <f t="shared" si="73"/>
        <v>402.99526520243205</v>
      </c>
      <c r="CB26" s="1">
        <f t="shared" si="73"/>
        <v>390.90540724635906</v>
      </c>
      <c r="CC26" s="1">
        <f t="shared" si="73"/>
        <v>379.17824502896826</v>
      </c>
      <c r="CD26" s="1">
        <f t="shared" si="73"/>
        <v>367.80289767809921</v>
      </c>
      <c r="CE26" s="1">
        <f t="shared" si="73"/>
        <v>356.76881074775622</v>
      </c>
      <c r="CF26" s="1">
        <f t="shared" si="73"/>
        <v>346.06574642532354</v>
      </c>
      <c r="CG26" s="1">
        <f t="shared" si="73"/>
        <v>335.6837740325638</v>
      </c>
      <c r="CH26" s="1">
        <f t="shared" si="73"/>
        <v>325.61326081158688</v>
      </c>
      <c r="CI26" s="1">
        <f t="shared" si="73"/>
        <v>315.84486298723925</v>
      </c>
      <c r="CJ26" s="1">
        <f t="shared" si="73"/>
        <v>306.36951709762207</v>
      </c>
      <c r="CK26" s="1">
        <f t="shared" si="73"/>
        <v>297.17843158469339</v>
      </c>
      <c r="CL26" s="1">
        <f t="shared" si="73"/>
        <v>288.2630786371526</v>
      </c>
      <c r="CM26" s="1">
        <f t="shared" si="73"/>
        <v>279.61518627803804</v>
      </c>
      <c r="CN26" s="1">
        <f t="shared" si="73"/>
        <v>271.22673068969686</v>
      </c>
      <c r="CO26" s="1">
        <f t="shared" si="73"/>
        <v>263.08992876900595</v>
      </c>
      <c r="CP26" s="1">
        <f t="shared" si="73"/>
        <v>255.19723090593575</v>
      </c>
      <c r="CQ26" s="1">
        <f t="shared" si="73"/>
        <v>247.54131397875767</v>
      </c>
      <c r="CR26" s="1">
        <f t="shared" si="73"/>
        <v>240.11507455939494</v>
      </c>
      <c r="CS26" s="1">
        <f t="shared" si="73"/>
        <v>232.91162232261308</v>
      </c>
      <c r="CT26" s="1">
        <f t="shared" si="73"/>
        <v>225.92427365293469</v>
      </c>
      <c r="CU26" s="1">
        <f t="shared" si="73"/>
        <v>219.14654544334664</v>
      </c>
      <c r="CV26" s="1">
        <f t="shared" si="73"/>
        <v>212.57214908004624</v>
      </c>
      <c r="CW26" s="1">
        <f t="shared" si="73"/>
        <v>206.19498460764484</v>
      </c>
      <c r="CX26" s="1">
        <f t="shared" si="73"/>
        <v>200.00913506941549</v>
      </c>
      <c r="CY26" s="1">
        <f t="shared" si="73"/>
        <v>194.00886101733303</v>
      </c>
      <c r="CZ26" s="1">
        <f t="shared" si="73"/>
        <v>188.18859518681305</v>
      </c>
      <c r="DA26" s="1">
        <f t="shared" si="73"/>
        <v>182.54293733120866</v>
      </c>
      <c r="DB26" s="1">
        <f t="shared" si="73"/>
        <v>177.06664921127239</v>
      </c>
      <c r="DC26" s="1">
        <f t="shared" si="73"/>
        <v>171.75464973493422</v>
      </c>
      <c r="DD26" s="1">
        <f t="shared" si="73"/>
        <v>166.60201024288619</v>
      </c>
      <c r="DE26" s="1">
        <f t="shared" si="73"/>
        <v>161.60394993559962</v>
      </c>
      <c r="DF26" s="1">
        <f t="shared" si="73"/>
        <v>156.75583143753161</v>
      </c>
      <c r="DG26" s="1">
        <f t="shared" si="73"/>
        <v>152.05315649440567</v>
      </c>
      <c r="DH26" s="1">
        <f t="shared" si="73"/>
        <v>147.4915617995735</v>
      </c>
      <c r="DI26" s="1">
        <f t="shared" si="73"/>
        <v>143.06681494558629</v>
      </c>
      <c r="DJ26" s="1">
        <f t="shared" si="73"/>
        <v>138.77481049721868</v>
      </c>
      <c r="DK26" s="1">
        <f t="shared" si="73"/>
        <v>134.61156618230211</v>
      </c>
      <c r="DL26" s="1">
        <f t="shared" si="73"/>
        <v>130.57321919683304</v>
      </c>
      <c r="DM26" s="1">
        <f t="shared" ref="DM26:EV26" si="74">+DL26*(1+$BB$30)</f>
        <v>126.65602262092804</v>
      </c>
      <c r="DN26" s="1">
        <f t="shared" si="74"/>
        <v>122.85634194230019</v>
      </c>
      <c r="DO26" s="1">
        <f t="shared" si="74"/>
        <v>119.17065168403118</v>
      </c>
      <c r="DP26" s="1">
        <f t="shared" si="74"/>
        <v>115.59553213351025</v>
      </c>
      <c r="DQ26" s="1">
        <f t="shared" si="74"/>
        <v>112.12766616950493</v>
      </c>
      <c r="DR26" s="1">
        <f t="shared" si="74"/>
        <v>108.76383618441979</v>
      </c>
      <c r="DS26" s="1">
        <f t="shared" si="74"/>
        <v>105.50092109888719</v>
      </c>
      <c r="DT26" s="1">
        <f t="shared" si="74"/>
        <v>102.33589346592058</v>
      </c>
      <c r="DU26" s="1">
        <f t="shared" si="74"/>
        <v>99.265816661942964</v>
      </c>
      <c r="DV26" s="1">
        <f t="shared" si="74"/>
        <v>96.287842162084672</v>
      </c>
      <c r="DW26" s="1">
        <f t="shared" si="74"/>
        <v>93.399206897222129</v>
      </c>
      <c r="DX26" s="1">
        <f t="shared" si="74"/>
        <v>90.597230690305466</v>
      </c>
      <c r="DY26" s="1">
        <f t="shared" si="74"/>
        <v>87.879313769596294</v>
      </c>
      <c r="DZ26" s="1">
        <f t="shared" si="74"/>
        <v>85.2429343565084</v>
      </c>
      <c r="EA26" s="1">
        <f t="shared" si="74"/>
        <v>82.685646325813138</v>
      </c>
      <c r="EB26" s="1">
        <f t="shared" si="74"/>
        <v>80.205076936038736</v>
      </c>
      <c r="EC26" s="1">
        <f t="shared" si="74"/>
        <v>77.798924627957575</v>
      </c>
      <c r="ED26" s="1">
        <f t="shared" si="74"/>
        <v>75.464956889118852</v>
      </c>
      <c r="EE26" s="1">
        <f t="shared" si="74"/>
        <v>73.201008182445278</v>
      </c>
      <c r="EF26" s="1">
        <f t="shared" si="74"/>
        <v>71.004977936971912</v>
      </c>
      <c r="EG26" s="1">
        <f t="shared" si="74"/>
        <v>68.874828598862749</v>
      </c>
      <c r="EH26" s="1">
        <f t="shared" si="74"/>
        <v>66.808583740896864</v>
      </c>
      <c r="EI26" s="1">
        <f t="shared" si="74"/>
        <v>64.80432622866995</v>
      </c>
      <c r="EJ26" s="1">
        <f t="shared" si="74"/>
        <v>62.860196441809848</v>
      </c>
      <c r="EK26" s="1">
        <f t="shared" si="74"/>
        <v>60.974390548555547</v>
      </c>
      <c r="EL26" s="1">
        <f t="shared" si="74"/>
        <v>59.145158832098879</v>
      </c>
      <c r="EM26" s="1">
        <f t="shared" si="74"/>
        <v>57.370804067135914</v>
      </c>
      <c r="EN26" s="1">
        <f t="shared" si="74"/>
        <v>55.649679945121832</v>
      </c>
      <c r="EO26" s="1">
        <f t="shared" si="74"/>
        <v>53.980189546768173</v>
      </c>
      <c r="EP26" s="1">
        <f t="shared" si="74"/>
        <v>52.360783860365125</v>
      </c>
      <c r="EQ26" s="1">
        <f t="shared" si="74"/>
        <v>50.789960344554167</v>
      </c>
      <c r="ER26" s="1">
        <f t="shared" si="74"/>
        <v>49.266261534217541</v>
      </c>
      <c r="ES26" s="1">
        <f t="shared" si="74"/>
        <v>47.788273688191012</v>
      </c>
      <c r="ET26" s="1">
        <f t="shared" si="74"/>
        <v>46.354625477545284</v>
      </c>
      <c r="EU26" s="1">
        <f t="shared" si="74"/>
        <v>44.963986713218922</v>
      </c>
      <c r="EV26" s="1">
        <f t="shared" si="74"/>
        <v>43.615067111822356</v>
      </c>
    </row>
    <row r="27" spans="1:152" s="4" customFormat="1" x14ac:dyDescent="0.2">
      <c r="A27" s="4" t="s">
        <v>10</v>
      </c>
      <c r="B27" s="4">
        <f t="shared" ref="B27:D27" si="75">+B26/B28</f>
        <v>-8.7442717378788143E-2</v>
      </c>
      <c r="C27" s="4">
        <f t="shared" si="75"/>
        <v>-0.17150998621662153</v>
      </c>
      <c r="D27" s="4">
        <f t="shared" si="75"/>
        <v>-0.15487248839591655</v>
      </c>
      <c r="E27" s="4">
        <f>+E26/E28</f>
        <v>-0.30171666485710402</v>
      </c>
      <c r="F27" s="4">
        <f t="shared" ref="F27:H27" si="76">+F26/F28</f>
        <v>-0.16730757609158495</v>
      </c>
      <c r="G27" s="4">
        <f t="shared" si="76"/>
        <v>-0.42482593261058149</v>
      </c>
      <c r="H27" s="4">
        <f t="shared" si="76"/>
        <v>-0.13448729746056864</v>
      </c>
      <c r="I27" s="4">
        <f>+I26/I28</f>
        <v>-6.7513950114066482E-2</v>
      </c>
      <c r="J27" s="4">
        <f t="shared" ref="J27:L27" si="77">+J26/J28</f>
        <v>2.2574802352448648E-2</v>
      </c>
      <c r="K27" s="4">
        <f t="shared" si="77"/>
        <v>-3.3368463162391081E-2</v>
      </c>
      <c r="L27" s="4">
        <f t="shared" si="77"/>
        <v>-5.8836161172088917E-2</v>
      </c>
      <c r="M27" s="4">
        <f>+M26/M28</f>
        <v>-8.857850458908742E-2</v>
      </c>
      <c r="N27" s="4">
        <f t="shared" ref="N27:P27" si="78">+N26/N28</f>
        <v>-3.6915329788609952E-2</v>
      </c>
      <c r="O27" s="4">
        <f t="shared" si="78"/>
        <v>-2.4992206567772565E-2</v>
      </c>
      <c r="P27" s="4">
        <f t="shared" si="78"/>
        <v>-3.4389425922272697E-2</v>
      </c>
      <c r="Q27" s="4">
        <f>+Q26/Q28</f>
        <v>-4.5774854302767766E-2</v>
      </c>
      <c r="U27" s="4">
        <f t="shared" ref="U27:AO27" si="79">+U26/U28</f>
        <v>0.1663635765745323</v>
      </c>
      <c r="V27" s="4">
        <f t="shared" si="79"/>
        <v>0.826912757427259</v>
      </c>
      <c r="W27" s="4">
        <f t="shared" si="79"/>
        <v>1.2851717884255125</v>
      </c>
      <c r="X27" s="4">
        <f t="shared" si="79"/>
        <v>2.0116162394126951</v>
      </c>
      <c r="Y27" s="4">
        <f t="shared" si="79"/>
        <v>1.1264840390515078</v>
      </c>
      <c r="Z27" s="4">
        <f t="shared" si="79"/>
        <v>0.5457530492614</v>
      </c>
      <c r="AA27" s="4">
        <f t="shared" si="79"/>
        <v>0.70820640791011635</v>
      </c>
      <c r="AB27" s="4">
        <f t="shared" si="79"/>
        <v>0.47085733668231577</v>
      </c>
      <c r="AC27" s="4">
        <f t="shared" si="79"/>
        <v>0.7843978140030804</v>
      </c>
      <c r="AD27" s="4">
        <f t="shared" si="79"/>
        <v>9.8171921060566422E-2</v>
      </c>
      <c r="AE27" s="4">
        <f t="shared" si="79"/>
        <v>0.12888101420872566</v>
      </c>
      <c r="AF27" s="4">
        <f t="shared" si="79"/>
        <v>0.10484705639546522</v>
      </c>
      <c r="AG27" s="4">
        <f t="shared" si="79"/>
        <v>6.4911931306956744E-2</v>
      </c>
      <c r="AH27" s="4">
        <f t="shared" si="79"/>
        <v>-0.45007996569188669</v>
      </c>
      <c r="AI27" s="4">
        <f t="shared" si="79"/>
        <v>-2.2235026193543242E-2</v>
      </c>
      <c r="AJ27" s="4">
        <f t="shared" si="79"/>
        <v>-1.1159391762131039</v>
      </c>
      <c r="AK27" s="4">
        <f t="shared" si="79"/>
        <v>-1.9560487038694538</v>
      </c>
      <c r="AL27" s="4">
        <f t="shared" si="79"/>
        <v>-0.73150854277029953</v>
      </c>
      <c r="AM27" s="4">
        <f t="shared" si="79"/>
        <v>-0.78988563957965141</v>
      </c>
      <c r="AN27" s="4">
        <f t="shared" si="79"/>
        <v>-0.15833652169835991</v>
      </c>
      <c r="AO27" s="4">
        <f t="shared" si="79"/>
        <v>-0.13498451574036777</v>
      </c>
    </row>
    <row r="28" spans="1:152" x14ac:dyDescent="0.2">
      <c r="A28" s="1" t="s">
        <v>11</v>
      </c>
      <c r="B28" s="1">
        <v>131.19445899999999</v>
      </c>
      <c r="C28" s="1">
        <v>128.476484</v>
      </c>
      <c r="D28" s="1">
        <v>128.15704199999999</v>
      </c>
      <c r="E28" s="1">
        <v>128.39197999999999</v>
      </c>
      <c r="F28" s="1">
        <v>128.73894000000001</v>
      </c>
      <c r="G28" s="1">
        <v>129.35650999999999</v>
      </c>
      <c r="H28" s="1">
        <v>130.02715000000001</v>
      </c>
      <c r="I28" s="1">
        <v>130.31380899999999</v>
      </c>
      <c r="J28" s="1">
        <v>130.898156</v>
      </c>
      <c r="K28" s="1">
        <v>131.980906</v>
      </c>
      <c r="L28" s="1">
        <v>132.63951700000001</v>
      </c>
      <c r="M28" s="1">
        <v>131.126621</v>
      </c>
      <c r="N28" s="1">
        <v>131.46299999999999</v>
      </c>
      <c r="O28" s="1">
        <v>131.52099999999999</v>
      </c>
      <c r="P28" s="1">
        <v>126.72499999999999</v>
      </c>
      <c r="Q28" s="1">
        <v>125.942509</v>
      </c>
      <c r="U28" s="1">
        <v>172.88039000000001</v>
      </c>
      <c r="V28" s="1">
        <v>172.88039000000001</v>
      </c>
      <c r="W28" s="1">
        <v>172.88039000000001</v>
      </c>
      <c r="X28" s="1">
        <v>172.88039000000001</v>
      </c>
      <c r="Y28" s="1">
        <v>172.88039000000001</v>
      </c>
      <c r="Z28" s="1">
        <v>172.88039000000001</v>
      </c>
      <c r="AA28" s="1">
        <v>172.88039000000001</v>
      </c>
      <c r="AB28" s="1">
        <v>172.88039000000001</v>
      </c>
      <c r="AC28" s="1">
        <v>172.88039000000001</v>
      </c>
      <c r="AD28" s="1">
        <v>172.88039000000001</v>
      </c>
      <c r="AE28" s="1">
        <v>172.88039000000001</v>
      </c>
      <c r="AF28" s="1">
        <v>172.88039000000001</v>
      </c>
      <c r="AG28" s="1">
        <v>172.88039000000001</v>
      </c>
      <c r="AH28" s="1">
        <v>172.88039000000001</v>
      </c>
      <c r="AI28" s="1">
        <v>172.88039000000001</v>
      </c>
      <c r="AJ28" s="1">
        <v>172.88039000000001</v>
      </c>
      <c r="AK28" s="1">
        <v>131.706332</v>
      </c>
      <c r="AL28" s="1">
        <v>129.42979399999999</v>
      </c>
      <c r="AM28" s="1">
        <v>130.11757</v>
      </c>
      <c r="AN28" s="1">
        <v>132.426807</v>
      </c>
      <c r="AO28" s="1">
        <v>127.696128</v>
      </c>
    </row>
    <row r="30" spans="1:152" s="3" customFormat="1" x14ac:dyDescent="0.2">
      <c r="A30" s="3" t="s">
        <v>12</v>
      </c>
      <c r="B30" s="3">
        <f t="shared" ref="B30:Q30" si="80">+B17/B15</f>
        <v>0.81188262195121952</v>
      </c>
      <c r="C30" s="3">
        <f t="shared" si="80"/>
        <v>0.77184823441021788</v>
      </c>
      <c r="D30" s="3">
        <f t="shared" si="80"/>
        <v>0.81300392156862744</v>
      </c>
      <c r="E30" s="3">
        <f t="shared" si="80"/>
        <v>0.81830729166666671</v>
      </c>
      <c r="F30" s="3">
        <f t="shared" si="80"/>
        <v>0.84958722741433024</v>
      </c>
      <c r="G30" s="3">
        <f t="shared" si="80"/>
        <v>0.82786576168929105</v>
      </c>
      <c r="H30" s="3">
        <f t="shared" si="80"/>
        <v>0.80644900953778431</v>
      </c>
      <c r="I30" s="3">
        <f t="shared" si="80"/>
        <v>0.86978417266187058</v>
      </c>
      <c r="J30" s="3">
        <f t="shared" si="80"/>
        <v>0.85767590618336886</v>
      </c>
      <c r="K30" s="3">
        <f t="shared" si="80"/>
        <v>0.82579182630906767</v>
      </c>
      <c r="L30" s="3">
        <f t="shared" si="80"/>
        <v>0.82541608876560335</v>
      </c>
      <c r="M30" s="3">
        <f t="shared" si="80"/>
        <v>0.88486052998605302</v>
      </c>
      <c r="N30" s="3">
        <f t="shared" si="80"/>
        <v>0.86393395549174434</v>
      </c>
      <c r="O30" s="3">
        <f t="shared" si="80"/>
        <v>0.79531886916502292</v>
      </c>
      <c r="P30" s="3">
        <f t="shared" si="80"/>
        <v>0.865636105188344</v>
      </c>
      <c r="Q30" s="3">
        <f t="shared" si="80"/>
        <v>0.87422644163150487</v>
      </c>
      <c r="U30" s="3">
        <f t="shared" ref="U30" si="81">+U17/U15</f>
        <v>0.44295298525689997</v>
      </c>
      <c r="V30" s="3">
        <f t="shared" ref="V30:W30" si="82">+V17/V15</f>
        <v>0.43169946849510638</v>
      </c>
      <c r="W30" s="3">
        <f t="shared" si="82"/>
        <v>0.42428862012175184</v>
      </c>
      <c r="X30" s="3">
        <f t="shared" ref="X30:Y30" si="83">+X17/X15</f>
        <v>0.43991104883736598</v>
      </c>
      <c r="Y30" s="3">
        <f t="shared" si="83"/>
        <v>0.46636674864532113</v>
      </c>
      <c r="Z30" s="3">
        <f t="shared" ref="Z30:AA30" si="84">+Z17/Z15</f>
        <v>0.49405674276522987</v>
      </c>
      <c r="AA30" s="3">
        <f t="shared" si="84"/>
        <v>0.48916791522882053</v>
      </c>
      <c r="AB30" s="3">
        <f t="shared" ref="AB30:AC30" si="85">+AB17/AB15</f>
        <v>0.50240610987757794</v>
      </c>
      <c r="AC30" s="3">
        <f t="shared" si="85"/>
        <v>0.52475466686342509</v>
      </c>
      <c r="AD30" s="3">
        <f t="shared" ref="AD30:AE30" si="86">+AD17/AD15</f>
        <v>0.5410190834227685</v>
      </c>
      <c r="AE30" s="3">
        <f t="shared" si="86"/>
        <v>0.55070020583147072</v>
      </c>
      <c r="AF30" s="3">
        <f t="shared" ref="AF30:AG30" si="87">+AF17/AF15</f>
        <v>0.51512357851673996</v>
      </c>
      <c r="AG30" s="3">
        <f t="shared" si="87"/>
        <v>0.57349475200262523</v>
      </c>
      <c r="AH30" s="3">
        <f t="shared" ref="AH30:AI30" si="88">+AH17/AH15</f>
        <v>0.60327154381807258</v>
      </c>
      <c r="AI30" s="3">
        <f t="shared" si="88"/>
        <v>0.69209141552538012</v>
      </c>
      <c r="AJ30" s="3">
        <f t="shared" ref="AJ30:AO30" si="89">+AJ17/AJ15</f>
        <v>0.73522117579908675</v>
      </c>
      <c r="AK30" s="3">
        <f t="shared" si="89"/>
        <v>0.80160166603559257</v>
      </c>
      <c r="AL30" s="3">
        <f t="shared" si="89"/>
        <v>0.80307555730913394</v>
      </c>
      <c r="AM30" s="3">
        <f t="shared" si="89"/>
        <v>0.83848778668655599</v>
      </c>
      <c r="AN30" s="3">
        <f t="shared" si="89"/>
        <v>0.84782489740082079</v>
      </c>
      <c r="AO30" s="3">
        <f t="shared" si="89"/>
        <v>0.84880571030640672</v>
      </c>
      <c r="AP30" s="3">
        <f t="shared" ref="AP30:AY30" si="90">+AP17/AP15</f>
        <v>0.88</v>
      </c>
      <c r="AQ30" s="3">
        <f t="shared" si="90"/>
        <v>0.88</v>
      </c>
      <c r="AR30" s="3">
        <f t="shared" si="90"/>
        <v>0.88000000000000012</v>
      </c>
      <c r="AS30" s="3">
        <f t="shared" si="90"/>
        <v>0.88</v>
      </c>
      <c r="AT30" s="3">
        <f t="shared" si="90"/>
        <v>0.88</v>
      </c>
      <c r="AU30" s="3">
        <f t="shared" si="90"/>
        <v>0.88</v>
      </c>
      <c r="AV30" s="3">
        <f t="shared" si="90"/>
        <v>0.88</v>
      </c>
      <c r="AW30" s="3">
        <f t="shared" si="90"/>
        <v>0.88</v>
      </c>
      <c r="AX30" s="3">
        <f t="shared" si="90"/>
        <v>0.88</v>
      </c>
      <c r="AY30" s="3">
        <f t="shared" si="90"/>
        <v>0.88</v>
      </c>
      <c r="BA30" s="3" t="s">
        <v>166</v>
      </c>
      <c r="BB30" s="3">
        <v>-0.03</v>
      </c>
    </row>
    <row r="31" spans="1:152" s="3" customFormat="1" x14ac:dyDescent="0.2">
      <c r="A31" s="3" t="s">
        <v>13</v>
      </c>
      <c r="B31" s="3">
        <f t="shared" ref="B31:Q31" si="91">+B22/B15</f>
        <v>-0.10846798780487812</v>
      </c>
      <c r="C31" s="3">
        <f t="shared" si="91"/>
        <v>-0.1582419233658903</v>
      </c>
      <c r="D31" s="3">
        <f t="shared" si="91"/>
        <v>-0.17657254901960778</v>
      </c>
      <c r="E31" s="3">
        <f t="shared" si="91"/>
        <v>-0.3065190972222222</v>
      </c>
      <c r="F31" s="3">
        <f t="shared" si="91"/>
        <v>-0.15484423676012454</v>
      </c>
      <c r="G31" s="3">
        <f t="shared" si="91"/>
        <v>-0.4181297134238311</v>
      </c>
      <c r="H31" s="3">
        <f t="shared" si="91"/>
        <v>-0.13050623624358021</v>
      </c>
      <c r="I31" s="3">
        <f t="shared" si="91"/>
        <v>-3.2676258992805664E-2</v>
      </c>
      <c r="J31" s="3">
        <f t="shared" si="91"/>
        <v>1.8685145700071008E-2</v>
      </c>
      <c r="K31" s="3">
        <f t="shared" si="91"/>
        <v>-2.2388250319284805E-2</v>
      </c>
      <c r="L31" s="3">
        <f t="shared" si="91"/>
        <v>-6.0000000000000206E-2</v>
      </c>
      <c r="M31" s="3">
        <f t="shared" si="91"/>
        <v>-7.2099023709902565E-2</v>
      </c>
      <c r="N31" s="3">
        <f t="shared" si="91"/>
        <v>-3.5168700646087799E-2</v>
      </c>
      <c r="O31" s="3">
        <f t="shared" si="91"/>
        <v>-3.4694280078895565E-2</v>
      </c>
      <c r="P31" s="3">
        <f t="shared" si="91"/>
        <v>-2.9054726368159263E-2</v>
      </c>
      <c r="Q31" s="3">
        <f t="shared" si="91"/>
        <v>-4.2953586497890425E-2</v>
      </c>
      <c r="U31" s="3">
        <f t="shared" ref="U31" si="92">+U22/U15</f>
        <v>0.23115538718176579</v>
      </c>
      <c r="V31" s="3">
        <f t="shared" ref="V31:W31" si="93">+V22/V15</f>
        <v>0.27092861279583791</v>
      </c>
      <c r="W31" s="3">
        <f t="shared" si="93"/>
        <v>0.24947021392358476</v>
      </c>
      <c r="X31" s="3">
        <f t="shared" ref="X31:Y31" si="94">+X22/X15</f>
        <v>0.26428431213960019</v>
      </c>
      <c r="Y31" s="3">
        <f t="shared" si="94"/>
        <v>0.15100480103798469</v>
      </c>
      <c r="Z31" s="3">
        <f t="shared" ref="Z31:AA31" si="95">+Z22/Z15</f>
        <v>0.15642444885987322</v>
      </c>
      <c r="AA31" s="3">
        <f t="shared" si="95"/>
        <v>0.13136495510106944</v>
      </c>
      <c r="AB31" s="3">
        <f t="shared" ref="AB31:AC31" si="96">+AB22/AB15</f>
        <v>7.4812070526862312E-2</v>
      </c>
      <c r="AC31" s="3">
        <f t="shared" si="96"/>
        <v>7.3206424161932182E-2</v>
      </c>
      <c r="AD31" s="3">
        <f t="shared" ref="AD31:AE31" si="97">+AD22/AD15</f>
        <v>2.6515017842055705E-2</v>
      </c>
      <c r="AE31" s="3">
        <f t="shared" si="97"/>
        <v>2.2218433912944688E-2</v>
      </c>
      <c r="AF31" s="3">
        <f t="shared" ref="AF31:AG31" si="98">+AF22/AF15</f>
        <v>5.9606181955820174E-4</v>
      </c>
      <c r="AG31" s="3">
        <f t="shared" si="98"/>
        <v>9.008142169428723E-3</v>
      </c>
      <c r="AH31" s="3">
        <f t="shared" ref="AH31:AI31" si="99">+AH22/AH15</f>
        <v>-9.586031890315494E-2</v>
      </c>
      <c r="AI31" s="3">
        <f t="shared" si="99"/>
        <v>4.2297735287523111E-3</v>
      </c>
      <c r="AJ31" s="3">
        <f t="shared" ref="AJ31:AO31" si="100">+AJ22/AJ15</f>
        <v>-0.32950342465753452</v>
      </c>
      <c r="AK31" s="3">
        <f t="shared" si="100"/>
        <v>-0.5446705793260127</v>
      </c>
      <c r="AL31" s="3">
        <f t="shared" si="100"/>
        <v>-0.18389623199842187</v>
      </c>
      <c r="AM31" s="3">
        <f t="shared" si="100"/>
        <v>-0.18209211262353173</v>
      </c>
      <c r="AN31" s="3">
        <f t="shared" si="100"/>
        <v>-3.4145006839945306E-2</v>
      </c>
      <c r="AO31" s="3">
        <f t="shared" si="100"/>
        <v>-3.5240250696378865E-2</v>
      </c>
      <c r="AP31" s="3">
        <f t="shared" ref="AP31:AY31" si="101">+AP22/AP15</f>
        <v>-4.3000355140186859E-2</v>
      </c>
      <c r="AQ31" s="3">
        <f t="shared" si="101"/>
        <v>7.7513361315086932E-2</v>
      </c>
      <c r="AR31" s="3">
        <f t="shared" si="101"/>
        <v>0.18131592686528492</v>
      </c>
      <c r="AS31" s="3">
        <f t="shared" si="101"/>
        <v>0.27081465006042582</v>
      </c>
      <c r="AT31" s="3">
        <f t="shared" si="101"/>
        <v>0.34806212595328784</v>
      </c>
      <c r="AU31" s="3">
        <f t="shared" si="101"/>
        <v>0.4148091838773908</v>
      </c>
      <c r="AV31" s="3">
        <f t="shared" si="101"/>
        <v>0.47254987385033104</v>
      </c>
      <c r="AW31" s="3">
        <f t="shared" si="101"/>
        <v>0.52255969360993382</v>
      </c>
      <c r="AX31" s="3">
        <f t="shared" si="101"/>
        <v>0.56592807639368892</v>
      </c>
      <c r="AY31" s="3">
        <f t="shared" si="101"/>
        <v>0.60358600523673611</v>
      </c>
      <c r="BA31" s="3" t="s">
        <v>167</v>
      </c>
      <c r="BB31" s="3">
        <v>0.15</v>
      </c>
    </row>
    <row r="32" spans="1:152" s="3" customFormat="1" x14ac:dyDescent="0.2">
      <c r="A32" s="3" t="s">
        <v>14</v>
      </c>
      <c r="B32" s="3">
        <f t="shared" ref="B32:Q32" si="102">+B26/B15</f>
        <v>-8.743902439024398E-2</v>
      </c>
      <c r="C32" s="3">
        <f t="shared" si="102"/>
        <v>-0.16555221637866263</v>
      </c>
      <c r="D32" s="3">
        <f t="shared" si="102"/>
        <v>-0.15567058823529403</v>
      </c>
      <c r="E32" s="3">
        <f t="shared" si="102"/>
        <v>-0.33626736111111116</v>
      </c>
      <c r="F32" s="3">
        <f t="shared" si="102"/>
        <v>-0.16774922118380053</v>
      </c>
      <c r="G32" s="3">
        <f t="shared" si="102"/>
        <v>-0.41443438914027159</v>
      </c>
      <c r="H32" s="3">
        <f t="shared" si="102"/>
        <v>-0.12829787234042539</v>
      </c>
      <c r="I32" s="3">
        <f t="shared" si="102"/>
        <v>-6.3294964028776893E-2</v>
      </c>
      <c r="J32" s="3">
        <f t="shared" si="102"/>
        <v>2.1002132196161979E-2</v>
      </c>
      <c r="K32" s="3">
        <f t="shared" si="102"/>
        <v>-2.8122605363984674E-2</v>
      </c>
      <c r="L32" s="3">
        <f t="shared" si="102"/>
        <v>-5.4119278779473159E-2</v>
      </c>
      <c r="M32" s="3">
        <f t="shared" si="102"/>
        <v>-8.0997210599721259E-2</v>
      </c>
      <c r="N32" s="3">
        <f t="shared" si="102"/>
        <v>-3.4838478104809979E-2</v>
      </c>
      <c r="O32" s="3">
        <f t="shared" si="102"/>
        <v>-2.1610782380013249E-2</v>
      </c>
      <c r="P32" s="3">
        <f t="shared" si="102"/>
        <v>-3.0973702914001477E-2</v>
      </c>
      <c r="Q32" s="3">
        <f t="shared" si="102"/>
        <v>-4.0541490857946685E-2</v>
      </c>
      <c r="U32" s="3">
        <f t="shared" ref="U32" si="103">+U26/U15</f>
        <v>0.14946291879082679</v>
      </c>
      <c r="V32" s="3">
        <f t="shared" ref="V32:W32" si="104">+V26/V15</f>
        <v>0.1985428405165888</v>
      </c>
      <c r="W32" s="3">
        <f t="shared" si="104"/>
        <v>0.16291820102980153</v>
      </c>
      <c r="X32" s="3">
        <f t="shared" ref="X32:Y32" si="105">+X26/X15</f>
        <v>0.20019710638160701</v>
      </c>
      <c r="Y32" s="3">
        <f t="shared" si="105"/>
        <v>0.11633541675004908</v>
      </c>
      <c r="Z32" s="3">
        <f t="shared" ref="Z32:AA32" si="106">+Z26/Z15</f>
        <v>6.376464863549737E-2</v>
      </c>
      <c r="AA32" s="3">
        <f t="shared" si="106"/>
        <v>8.0491991561275747E-2</v>
      </c>
      <c r="AB32" s="3">
        <f t="shared" ref="AB32:AC32" si="107">+AB26/AB15</f>
        <v>6.3934113352240862E-2</v>
      </c>
      <c r="AC32" s="3">
        <f t="shared" si="107"/>
        <v>0.12827796665323413</v>
      </c>
      <c r="AD32" s="3">
        <f t="shared" ref="AD32:AE32" si="108">+AD26/AD15</f>
        <v>1.7615786534696976E-2</v>
      </c>
      <c r="AE32" s="3">
        <f t="shared" si="108"/>
        <v>2.3446477503756776E-2</v>
      </c>
      <c r="AF32" s="3">
        <f t="shared" ref="AF32:AG32" si="109">+AF26/AF15</f>
        <v>1.8007027568852613E-2</v>
      </c>
      <c r="AG32" s="3">
        <f t="shared" si="109"/>
        <v>1.1366018824525453E-2</v>
      </c>
      <c r="AH32" s="3">
        <f t="shared" ref="AH32:AI32" si="110">+AH26/AH15</f>
        <v>-0.10525048560499076</v>
      </c>
      <c r="AI32" s="3">
        <f t="shared" si="110"/>
        <v>-5.5969877605933204E-3</v>
      </c>
      <c r="AJ32" s="3">
        <f t="shared" ref="AJ32:AO32" si="111">+AJ26/AJ15</f>
        <v>-0.27529109589041117</v>
      </c>
      <c r="AK32" s="3">
        <f t="shared" si="111"/>
        <v>-0.48773949261643307</v>
      </c>
      <c r="AL32" s="3">
        <f t="shared" si="111"/>
        <v>-0.1867804300651017</v>
      </c>
      <c r="AM32" s="3">
        <f t="shared" si="111"/>
        <v>-0.19164273727391398</v>
      </c>
      <c r="AN32" s="3">
        <f t="shared" si="111"/>
        <v>-3.5854993160054749E-2</v>
      </c>
      <c r="AO32" s="3">
        <f t="shared" si="111"/>
        <v>-3.0008704735376073E-2</v>
      </c>
      <c r="AP32" s="3">
        <f t="shared" ref="AP32:AY32" si="112">+AP26/AP15</f>
        <v>1.0819887850467742E-3</v>
      </c>
      <c r="AQ32" s="3">
        <f t="shared" si="112"/>
        <v>9.3760846275033505E-2</v>
      </c>
      <c r="AR32" s="3">
        <f t="shared" si="112"/>
        <v>0.17942857913041219</v>
      </c>
      <c r="AS32" s="3">
        <f t="shared" si="112"/>
        <v>0.2588791265979602</v>
      </c>
      <c r="AT32" s="3">
        <f t="shared" si="112"/>
        <v>0.33279497189180229</v>
      </c>
      <c r="AU32" s="3">
        <f t="shared" si="112"/>
        <v>0.40176387308886075</v>
      </c>
      <c r="AV32" s="3">
        <f t="shared" si="112"/>
        <v>0.46629304626718088</v>
      </c>
      <c r="AW32" s="3">
        <f t="shared" si="112"/>
        <v>0.52682118927915511</v>
      </c>
      <c r="AX32" s="3">
        <f t="shared" si="112"/>
        <v>0.58372867541790407</v>
      </c>
      <c r="AY32" s="3">
        <f t="shared" si="112"/>
        <v>0.63734619609389065</v>
      </c>
      <c r="BA32" s="3" t="s">
        <v>168</v>
      </c>
      <c r="BB32" s="1">
        <f>+NPV(BB31,AP26:EV26)</f>
        <v>2638.3369992903386</v>
      </c>
    </row>
    <row r="33" spans="1:54" s="3" customFormat="1" x14ac:dyDescent="0.2">
      <c r="A33" s="3" t="s">
        <v>15</v>
      </c>
      <c r="B33" s="3">
        <f t="shared" ref="B33:Q33" si="113">+B25/B24</f>
        <v>-0.1669209642966126</v>
      </c>
      <c r="C33" s="3">
        <f t="shared" si="113"/>
        <v>3.4653465346534656E-2</v>
      </c>
      <c r="D33" s="3">
        <f t="shared" si="113"/>
        <v>2.2266009852216759E-2</v>
      </c>
      <c r="E33" s="3">
        <f t="shared" si="113"/>
        <v>-0.14504448582660875</v>
      </c>
      <c r="F33" s="3">
        <f t="shared" si="113"/>
        <v>-6.8349784236893044E-2</v>
      </c>
      <c r="G33" s="3">
        <f t="shared" si="113"/>
        <v>-3.1341490879063127E-2</v>
      </c>
      <c r="H33" s="3">
        <f t="shared" si="113"/>
        <v>-9.553940608946257E-2</v>
      </c>
      <c r="I33" s="3">
        <f t="shared" si="113"/>
        <v>-0.61995949180629861</v>
      </c>
      <c r="J33" s="3">
        <f t="shared" si="113"/>
        <v>0.30092264017033427</v>
      </c>
      <c r="K33" s="3">
        <f t="shared" si="113"/>
        <v>-0.56893480584253642</v>
      </c>
      <c r="L33" s="3">
        <f t="shared" si="113"/>
        <v>-0.4777504260556687</v>
      </c>
      <c r="M33" s="3">
        <f t="shared" si="113"/>
        <v>-0.16068751873688378</v>
      </c>
      <c r="N33" s="3">
        <f t="shared" si="113"/>
        <v>-1.3604085603112648</v>
      </c>
      <c r="O33" s="3">
        <f t="shared" si="113"/>
        <v>-0.15780204297287695</v>
      </c>
      <c r="P33" s="3">
        <f t="shared" si="113"/>
        <v>-1.1053140096618312</v>
      </c>
      <c r="Q33" s="3">
        <f t="shared" si="113"/>
        <v>-0.23765564620008495</v>
      </c>
      <c r="U33" s="3">
        <f t="shared" ref="U33" si="114">+U25/U24</f>
        <v>0.34195895394330422</v>
      </c>
      <c r="V33" s="3">
        <f t="shared" ref="V33:W33" si="115">+V25/V24</f>
        <v>0.31841175545077038</v>
      </c>
      <c r="W33" s="3">
        <f t="shared" si="115"/>
        <v>0.29586164494701073</v>
      </c>
      <c r="X33" s="3">
        <f t="shared" ref="X33:Y33" si="116">+X25/X24</f>
        <v>0.24707071844256612</v>
      </c>
      <c r="Y33" s="3">
        <f t="shared" si="116"/>
        <v>0.28631947727364354</v>
      </c>
      <c r="Z33" s="3">
        <f t="shared" ref="Z33:AA33" si="117">+Z25/Z24</f>
        <v>0.21005040271940245</v>
      </c>
      <c r="AA33" s="3">
        <f t="shared" si="117"/>
        <v>0.17713436968633858</v>
      </c>
      <c r="AB33" s="3">
        <f t="shared" ref="AB33:AC33" si="118">+AB25/AB24</f>
        <v>-2.4143527546770991E-2</v>
      </c>
      <c r="AC33" s="3">
        <f t="shared" si="118"/>
        <v>-1.0255874049621341</v>
      </c>
      <c r="AD33" s="3">
        <f t="shared" ref="AD33:AE33" si="119">+AD25/AD24</f>
        <v>0.19111619483366754</v>
      </c>
      <c r="AE33" s="3">
        <f t="shared" si="119"/>
        <v>-0.5636886799073606</v>
      </c>
      <c r="AF33" s="3">
        <f t="shared" ref="AF33:AG33" si="120">+AF25/AF24</f>
        <v>3.3638497652582258</v>
      </c>
      <c r="AG33" s="3">
        <f t="shared" si="120"/>
        <v>-0.7230155074466571</v>
      </c>
      <c r="AH33" s="3">
        <f t="shared" ref="AH33:AI33" si="121">+AH25/AH24</f>
        <v>-0.13064705967828655</v>
      </c>
      <c r="AI33" s="3">
        <f t="shared" si="121"/>
        <v>1.7121155983697574</v>
      </c>
      <c r="AJ33" s="3">
        <f t="shared" ref="AJ33:AO33" si="122">+AJ25/AJ24</f>
        <v>0.17676276307030558</v>
      </c>
      <c r="AK33" s="3">
        <f t="shared" si="122"/>
        <v>0.12670422573406284</v>
      </c>
      <c r="AL33" s="3">
        <f t="shared" si="122"/>
        <v>-8.9667157720283538E-2</v>
      </c>
      <c r="AM33" s="3">
        <f t="shared" si="122"/>
        <v>-8.3721714924397339E-2</v>
      </c>
      <c r="AN33" s="3">
        <f t="shared" si="122"/>
        <v>-0.50114547537227883</v>
      </c>
      <c r="AO33" s="3">
        <f t="shared" si="122"/>
        <v>-0.49978247628991479</v>
      </c>
      <c r="AP33" s="3">
        <f t="shared" ref="AP33:AY33" si="123">+AP25/AP24</f>
        <v>0.2</v>
      </c>
      <c r="AQ33" s="3">
        <f t="shared" si="123"/>
        <v>0.2</v>
      </c>
      <c r="AR33" s="3">
        <f t="shared" si="123"/>
        <v>0.2</v>
      </c>
      <c r="AS33" s="3">
        <f t="shared" si="123"/>
        <v>0.2</v>
      </c>
      <c r="AT33" s="3">
        <f t="shared" si="123"/>
        <v>0.19999999999999998</v>
      </c>
      <c r="AU33" s="3">
        <f t="shared" si="123"/>
        <v>0.2</v>
      </c>
      <c r="AV33" s="3">
        <f t="shared" si="123"/>
        <v>0.2</v>
      </c>
      <c r="AW33" s="3">
        <f t="shared" si="123"/>
        <v>0.2</v>
      </c>
      <c r="AX33" s="3">
        <f t="shared" si="123"/>
        <v>0.2</v>
      </c>
      <c r="AY33" s="3">
        <f t="shared" si="123"/>
        <v>0.2</v>
      </c>
      <c r="BA33" s="3" t="s">
        <v>59</v>
      </c>
      <c r="BB33" s="1">
        <f>+AO41</f>
        <v>263.65300000000002</v>
      </c>
    </row>
    <row r="34" spans="1:54" s="3" customFormat="1" x14ac:dyDescent="0.2">
      <c r="BA34" s="3" t="s">
        <v>169</v>
      </c>
      <c r="BB34" s="1">
        <f>+BB32+BB33</f>
        <v>2901.9899992903383</v>
      </c>
    </row>
    <row r="35" spans="1:54" s="3" customFormat="1" x14ac:dyDescent="0.2">
      <c r="A35" s="3" t="s">
        <v>96</v>
      </c>
      <c r="M35" s="3">
        <f t="shared" ref="M35:P35" si="124">+M10/I10-1</f>
        <v>7.0731707317073234E-2</v>
      </c>
      <c r="N35" s="3">
        <f t="shared" si="124"/>
        <v>2.7127003699136898E-2</v>
      </c>
      <c r="O35" s="3">
        <f t="shared" si="124"/>
        <v>-3.960396039603975E-2</v>
      </c>
      <c r="P35" s="3">
        <f t="shared" si="124"/>
        <v>-5.3333333333333455E-2</v>
      </c>
      <c r="Q35" s="3">
        <f>+Q10/M10-1</f>
        <v>-9.6810933940774446E-2</v>
      </c>
      <c r="AM35" s="3">
        <f t="shared" ref="AM35:AO35" si="125">+AM10/AL10-1</f>
        <v>0.11278195488721798</v>
      </c>
      <c r="AN35" s="3">
        <f t="shared" si="125"/>
        <v>0.1564189189189189</v>
      </c>
      <c r="AO35" s="3">
        <f t="shared" si="125"/>
        <v>-4.1776219690330185E-2</v>
      </c>
      <c r="BA35" s="3" t="s">
        <v>170</v>
      </c>
      <c r="BB35" s="4">
        <f>+BB34/Main!J3</f>
        <v>22.725747794720434</v>
      </c>
    </row>
    <row r="36" spans="1:54" s="3" customFormat="1" x14ac:dyDescent="0.2">
      <c r="A36" s="3" t="s">
        <v>97</v>
      </c>
      <c r="N36" s="3">
        <f t="shared" ref="N36:P36" si="126">+N11/J11-1</f>
        <v>-4.3360433604336057E-2</v>
      </c>
      <c r="O36" s="3">
        <f t="shared" si="126"/>
        <v>0.10991957104557648</v>
      </c>
      <c r="P36" s="3">
        <f t="shared" si="126"/>
        <v>0.13315217391304368</v>
      </c>
      <c r="Q36" s="3">
        <f>+Q11/M11-1</f>
        <v>0.14705882352941169</v>
      </c>
      <c r="AM36" s="3">
        <f t="shared" ref="AM36:AO36" si="127">+AM11/AL11-1</f>
        <v>9.6874999999999822E-2</v>
      </c>
      <c r="AN36" s="3">
        <f t="shared" si="127"/>
        <v>5.6980056980057148E-2</v>
      </c>
      <c r="AO36" s="3">
        <f t="shared" si="127"/>
        <v>8.7601078167115931E-2</v>
      </c>
      <c r="BA36" s="3" t="s">
        <v>171</v>
      </c>
      <c r="BB36" s="4">
        <v>5.0999999999999996</v>
      </c>
    </row>
    <row r="37" spans="1:54" s="3" customFormat="1" x14ac:dyDescent="0.2">
      <c r="A37" s="3" t="s">
        <v>46</v>
      </c>
      <c r="F37" s="3">
        <f t="shared" ref="F37:P37" si="128">+F12/B12-1</f>
        <v>3.8167938931297218E-3</v>
      </c>
      <c r="G37" s="3">
        <f t="shared" si="128"/>
        <v>2.0348837209302362E-2</v>
      </c>
      <c r="H37" s="3">
        <f t="shared" si="128"/>
        <v>0.13522012578616338</v>
      </c>
      <c r="I37" s="3">
        <f t="shared" si="128"/>
        <v>0.29801324503311255</v>
      </c>
      <c r="J37" s="3">
        <f t="shared" si="128"/>
        <v>0.1216730038022813</v>
      </c>
      <c r="K37" s="3">
        <f t="shared" si="128"/>
        <v>0.2174738841405508</v>
      </c>
      <c r="L37" s="3">
        <f t="shared" si="128"/>
        <v>0.10156971375807933</v>
      </c>
      <c r="M37" s="3">
        <f t="shared" si="128"/>
        <v>6.4625850340136015E-2</v>
      </c>
      <c r="N37" s="3">
        <f t="shared" si="128"/>
        <v>5.0847457627118953E-3</v>
      </c>
      <c r="O37" s="3">
        <f t="shared" si="128"/>
        <v>3.900156006240163E-3</v>
      </c>
      <c r="P37" s="3">
        <f t="shared" si="128"/>
        <v>4.19111483654655E-3</v>
      </c>
      <c r="Q37" s="3">
        <f>+Q12/M12-1</f>
        <v>-2.3961661341853069E-2</v>
      </c>
      <c r="AK37" s="3">
        <f t="shared" ref="AK37:AM37" si="129">+AK12/AJ12-1</f>
        <v>-7.9342723004694915E-2</v>
      </c>
      <c r="AL37" s="3">
        <f t="shared" si="129"/>
        <v>4.5894951555329744E-3</v>
      </c>
      <c r="AM37" s="3">
        <f t="shared" si="129"/>
        <v>0.10761421319796938</v>
      </c>
      <c r="AN37" s="3">
        <f>+AN12/AM12-1</f>
        <v>0.12442713107241077</v>
      </c>
      <c r="AO37" s="3">
        <f>+AO12/AN12-1</f>
        <v>-2.6492765437131638E-3</v>
      </c>
      <c r="AP37" s="3">
        <f>+AP12/AO12-1</f>
        <v>-4.9856967715570022E-2</v>
      </c>
      <c r="BA37" s="3" t="s">
        <v>172</v>
      </c>
      <c r="BB37" s="3">
        <f>+BB35/BB36-1</f>
        <v>3.4560289793569483</v>
      </c>
    </row>
    <row r="38" spans="1:54" s="7" customFormat="1" x14ac:dyDescent="0.2">
      <c r="A38" s="7" t="s">
        <v>16</v>
      </c>
      <c r="F38" s="7">
        <f t="shared" ref="F38:Q38" si="130">+F15/B15-1</f>
        <v>-2.1341463414634054E-2</v>
      </c>
      <c r="G38" s="7">
        <f t="shared" si="130"/>
        <v>-3.7565740045079066E-3</v>
      </c>
      <c r="H38" s="7">
        <f t="shared" si="130"/>
        <v>6.9019607843137321E-2</v>
      </c>
      <c r="I38" s="7">
        <f t="shared" si="130"/>
        <v>0.20659722222222232</v>
      </c>
      <c r="J38" s="7">
        <f t="shared" si="130"/>
        <v>9.5794392523364413E-2</v>
      </c>
      <c r="K38" s="7">
        <f t="shared" si="130"/>
        <v>0.1809954751131222</v>
      </c>
      <c r="L38" s="7">
        <f t="shared" si="130"/>
        <v>5.7960381511371839E-2</v>
      </c>
      <c r="M38" s="7">
        <f t="shared" si="130"/>
        <v>3.1654676258992653E-2</v>
      </c>
      <c r="N38" s="7">
        <f t="shared" si="130"/>
        <v>-9.9502487562189712E-3</v>
      </c>
      <c r="O38" s="7">
        <f t="shared" si="130"/>
        <v>-2.8735632183908066E-2</v>
      </c>
      <c r="P38" s="7">
        <f t="shared" si="130"/>
        <v>-2.4271844660194164E-2</v>
      </c>
      <c r="Q38" s="7">
        <f t="shared" si="130"/>
        <v>-8.3682008368199945E-3</v>
      </c>
      <c r="V38" s="7">
        <f t="shared" ref="V38:W38" si="131">+V15/U15-1</f>
        <v>2.7418008720099358</v>
      </c>
      <c r="W38" s="7">
        <f t="shared" si="131"/>
        <v>0.89402678495787002</v>
      </c>
      <c r="X38" s="7">
        <f t="shared" ref="X38:Y38" si="132">+X15/W15-1</f>
        <v>0.2737839118084</v>
      </c>
      <c r="Y38" s="7">
        <f t="shared" si="132"/>
        <v>-3.6335732497166373E-2</v>
      </c>
      <c r="Z38" s="7">
        <f t="shared" ref="Z38:AA38" si="133">+Z15/Y15-1</f>
        <v>-0.11610005418118008</v>
      </c>
      <c r="AA38" s="7">
        <f t="shared" si="133"/>
        <v>2.7994944784612619E-2</v>
      </c>
      <c r="AB38" s="7">
        <f t="shared" ref="AB38:AC38" si="134">+AB15/AA15-1</f>
        <v>-0.16295363237903515</v>
      </c>
      <c r="AC38" s="7">
        <f t="shared" si="134"/>
        <v>-0.16971419640171315</v>
      </c>
      <c r="AD38" s="7">
        <f t="shared" ref="AD38:AE38" si="135">+AD15/AC15-1</f>
        <v>-8.8616958682626867E-2</v>
      </c>
      <c r="AE38" s="7">
        <f t="shared" si="135"/>
        <v>-1.3661264575163812E-2</v>
      </c>
      <c r="AF38" s="7">
        <f t="shared" ref="AF38:AG38" si="136">+AF15/AE15-1</f>
        <v>5.9260732490644896E-2</v>
      </c>
      <c r="AG38" s="7">
        <f t="shared" si="136"/>
        <v>-1.9151466262404271E-2</v>
      </c>
      <c r="AH38" s="7">
        <f t="shared" ref="AH38:AI38" si="137">+AH15/AG15-1</f>
        <v>-0.25122831396626655</v>
      </c>
      <c r="AI38" s="7">
        <f t="shared" si="137"/>
        <v>-7.0995720183312461E-2</v>
      </c>
      <c r="AJ38" s="7">
        <f>+AJ15/AI15-1</f>
        <v>2.0387362805366349E-2</v>
      </c>
      <c r="AK38" s="7">
        <f t="shared" ref="AK38:AM38" si="138">+AK15/AJ15-1</f>
        <v>-0.24628995433789946</v>
      </c>
      <c r="AL38" s="7">
        <f t="shared" si="138"/>
        <v>-4.0325634229458673E-2</v>
      </c>
      <c r="AM38" s="7">
        <f t="shared" si="138"/>
        <v>5.7999605444860824E-2</v>
      </c>
      <c r="AN38" s="7">
        <f>+AN15/AM15-1</f>
        <v>9.0434458325564293E-2</v>
      </c>
      <c r="AO38" s="7">
        <f>+AO15/AN15-1</f>
        <v>-1.7783857729138375E-2</v>
      </c>
      <c r="AP38" s="7">
        <f>+AP15/AO15-1</f>
        <v>-6.8593314763231161E-2</v>
      </c>
      <c r="AQ38" s="7">
        <f t="shared" ref="AQ38:AY38" si="139">+AQ15/AP15-1</f>
        <v>0.12000000000000011</v>
      </c>
      <c r="AR38" s="7">
        <f t="shared" si="139"/>
        <v>0.12000000000000011</v>
      </c>
      <c r="AS38" s="7">
        <f t="shared" si="139"/>
        <v>0.12000000000000011</v>
      </c>
      <c r="AT38" s="7">
        <f t="shared" si="139"/>
        <v>0.12000000000000011</v>
      </c>
      <c r="AU38" s="7">
        <f t="shared" si="139"/>
        <v>0.12000000000000011</v>
      </c>
      <c r="AV38" s="7">
        <f t="shared" si="139"/>
        <v>0.12000000000000011</v>
      </c>
      <c r="AW38" s="7">
        <f t="shared" si="139"/>
        <v>0.12000000000000011</v>
      </c>
      <c r="AX38" s="7">
        <f t="shared" si="139"/>
        <v>0.12000000000000011</v>
      </c>
      <c r="AY38" s="7">
        <f t="shared" si="139"/>
        <v>0.12000000000000011</v>
      </c>
    </row>
    <row r="39" spans="1:54" s="7" customFormat="1" x14ac:dyDescent="0.2"/>
    <row r="40" spans="1:54" s="3" customFormat="1" x14ac:dyDescent="0.2">
      <c r="A40" s="3" t="s">
        <v>173</v>
      </c>
      <c r="J40" s="3">
        <f t="shared" ref="J40" si="140">+SUM(G23:J23)/J41</f>
        <v>5.2460445159560207E-2</v>
      </c>
      <c r="K40" s="3">
        <f t="shared" ref="K40" si="141">+SUM(H23:K23)/K41</f>
        <v>1.7173444353579662E-2</v>
      </c>
      <c r="L40" s="3">
        <f t="shared" ref="L40:P40" si="142">+SUM(I23:L23)/L41</f>
        <v>5.3353130965804428E-2</v>
      </c>
      <c r="M40" s="3">
        <f t="shared" si="142"/>
        <v>6.8546360188274008E-2</v>
      </c>
      <c r="N40" s="3">
        <f t="shared" si="142"/>
        <v>0.12149517037832037</v>
      </c>
      <c r="O40" s="3">
        <f t="shared" si="142"/>
        <v>0.16892933699371968</v>
      </c>
      <c r="P40" s="3">
        <f t="shared" si="142"/>
        <v>0.11815437020980103</v>
      </c>
      <c r="Q40" s="3">
        <f>+SUM(N23:Q23)/Q41</f>
        <v>0.15647523831667057</v>
      </c>
      <c r="Z40" s="3" t="e">
        <f t="shared" ref="Z40:AM40" si="143">+Z23/Z41</f>
        <v>#DIV/0!</v>
      </c>
      <c r="AA40" s="3" t="e">
        <f t="shared" si="143"/>
        <v>#DIV/0!</v>
      </c>
      <c r="AB40" s="3" t="e">
        <f t="shared" si="143"/>
        <v>#DIV/0!</v>
      </c>
      <c r="AC40" s="3" t="e">
        <f t="shared" si="143"/>
        <v>#DIV/0!</v>
      </c>
      <c r="AD40" s="3" t="e">
        <f t="shared" si="143"/>
        <v>#DIV/0!</v>
      </c>
      <c r="AE40" s="3" t="e">
        <f t="shared" si="143"/>
        <v>#DIV/0!</v>
      </c>
      <c r="AF40" s="3" t="e">
        <f t="shared" si="143"/>
        <v>#DIV/0!</v>
      </c>
      <c r="AG40" s="3" t="e">
        <f t="shared" si="143"/>
        <v>#DIV/0!</v>
      </c>
      <c r="AH40" s="3">
        <f t="shared" si="143"/>
        <v>1.6382432659326956E-2</v>
      </c>
      <c r="AI40" s="3">
        <f t="shared" si="143"/>
        <v>9.9087819710248631E-3</v>
      </c>
      <c r="AJ40" s="3">
        <f t="shared" si="143"/>
        <v>-7.780672103161918E-3</v>
      </c>
      <c r="AK40" s="3">
        <f t="shared" si="143"/>
        <v>-1.9169270402929827E-2</v>
      </c>
      <c r="AL40" s="3">
        <f t="shared" si="143"/>
        <v>1.6931423587888773E-2</v>
      </c>
      <c r="AM40" s="3">
        <f t="shared" si="143"/>
        <v>8.8743886654720772E-3</v>
      </c>
      <c r="AN40" s="3">
        <f>+AN23/AN41</f>
        <v>1.9035895353337943E-2</v>
      </c>
      <c r="AO40" s="3">
        <f>+AO23/AO41</f>
        <v>3.3183768058774224E-2</v>
      </c>
    </row>
    <row r="41" spans="1:54" x14ac:dyDescent="0.2">
      <c r="A41" s="1" t="s">
        <v>59</v>
      </c>
      <c r="J41" s="1">
        <f t="shared" ref="J41:Q41" si="144">+J50</f>
        <v>89.495999999999995</v>
      </c>
      <c r="K41" s="1">
        <f t="shared" si="144"/>
        <v>188.31399999999999</v>
      </c>
      <c r="L41" s="1">
        <f t="shared" si="144"/>
        <v>89.572999999999993</v>
      </c>
      <c r="M41" s="1">
        <f t="shared" si="144"/>
        <v>87.531999999999996</v>
      </c>
      <c r="N41" s="1">
        <f t="shared" si="144"/>
        <v>59.631999999999998</v>
      </c>
      <c r="O41" s="1">
        <f t="shared" si="144"/>
        <v>53.182000000000002</v>
      </c>
      <c r="P41" s="1">
        <f t="shared" si="144"/>
        <v>64.584999999999994</v>
      </c>
      <c r="Q41" s="1">
        <f t="shared" si="144"/>
        <v>55.912999999999997</v>
      </c>
      <c r="Z41" s="1">
        <f t="shared" ref="Z41:AN41" si="145">+Z49+Z50</f>
        <v>0</v>
      </c>
      <c r="AA41" s="1">
        <f t="shared" si="145"/>
        <v>0</v>
      </c>
      <c r="AB41" s="1">
        <f t="shared" si="145"/>
        <v>0</v>
      </c>
      <c r="AC41" s="1">
        <f t="shared" si="145"/>
        <v>0</v>
      </c>
      <c r="AD41" s="1">
        <f t="shared" si="145"/>
        <v>0</v>
      </c>
      <c r="AE41" s="1">
        <f t="shared" si="145"/>
        <v>0</v>
      </c>
      <c r="AF41" s="1">
        <f t="shared" si="145"/>
        <v>0</v>
      </c>
      <c r="AG41" s="1">
        <f t="shared" si="145"/>
        <v>0</v>
      </c>
      <c r="AH41" s="1">
        <f t="shared" si="145"/>
        <v>125.07299999999999</v>
      </c>
      <c r="AI41" s="1">
        <f t="shared" si="145"/>
        <v>251.595</v>
      </c>
      <c r="AJ41" s="1">
        <f t="shared" si="145"/>
        <v>441.09300000000002</v>
      </c>
      <c r="AK41" s="1">
        <f t="shared" si="145"/>
        <v>381.18299999999999</v>
      </c>
      <c r="AL41" s="1">
        <f t="shared" si="145"/>
        <v>373.80200000000002</v>
      </c>
      <c r="AM41" s="1">
        <f t="shared" si="145"/>
        <v>317.54300000000001</v>
      </c>
      <c r="AN41" s="1">
        <f t="shared" si="145"/>
        <v>315.19400000000002</v>
      </c>
      <c r="AO41" s="1">
        <f>+AO49+AO50</f>
        <v>263.65300000000002</v>
      </c>
      <c r="AP41" s="1">
        <f>+AO41+AP26</f>
        <v>264.23186400000003</v>
      </c>
      <c r="AQ41" s="1">
        <f t="shared" ref="AQ41:AY41" si="146">+AP41+AQ26</f>
        <v>320.4133630880001</v>
      </c>
      <c r="AR41" s="1">
        <f t="shared" si="146"/>
        <v>440.82860025673625</v>
      </c>
      <c r="AS41" s="1">
        <f t="shared" si="146"/>
        <v>635.41159571830144</v>
      </c>
      <c r="AT41" s="1">
        <f t="shared" si="146"/>
        <v>915.5693379008892</v>
      </c>
      <c r="AU41" s="1">
        <f t="shared" si="146"/>
        <v>1294.3735307872694</v>
      </c>
      <c r="AV41" s="1">
        <f t="shared" si="146"/>
        <v>1786.7767198634267</v>
      </c>
      <c r="AW41" s="1">
        <f t="shared" si="146"/>
        <v>2409.8558072327655</v>
      </c>
      <c r="AX41" s="1">
        <f t="shared" si="146"/>
        <v>3183.0863345586768</v>
      </c>
      <c r="AY41" s="1">
        <f t="shared" si="146"/>
        <v>4128.6513252370405</v>
      </c>
    </row>
    <row r="42" spans="1:54" x14ac:dyDescent="0.2">
      <c r="A42" s="1" t="s">
        <v>60</v>
      </c>
      <c r="J42" s="1">
        <f>192.294+36.534</f>
        <v>228.828</v>
      </c>
      <c r="K42" s="1">
        <f>192.294+30.427</f>
        <v>222.721</v>
      </c>
      <c r="L42" s="1">
        <f>192.294+25.17</f>
        <v>217.464</v>
      </c>
      <c r="M42" s="1">
        <f>192.294+20.275</f>
        <v>212.56900000000002</v>
      </c>
      <c r="N42" s="1">
        <f>192.294+15.828</f>
        <v>208.12200000000001</v>
      </c>
      <c r="O42" s="1">
        <f>192.294+11.392</f>
        <v>203.68600000000001</v>
      </c>
      <c r="P42" s="1">
        <f>192.294+7.027</f>
        <v>199.321</v>
      </c>
      <c r="Q42" s="1">
        <f>192.294+2.233</f>
        <v>194.52700000000002</v>
      </c>
      <c r="AH42" s="1">
        <f>256.319+718.397</f>
        <v>974.71600000000012</v>
      </c>
      <c r="AI42" s="1">
        <f>192.294+634.728</f>
        <v>827.02199999999993</v>
      </c>
      <c r="AJ42" s="1">
        <f>192.294+380.16</f>
        <v>572.45400000000006</v>
      </c>
      <c r="AK42" s="1">
        <f>192.294+117.475</f>
        <v>309.76900000000001</v>
      </c>
      <c r="AL42" s="1">
        <f>192.294+70.478</f>
        <v>262.77199999999999</v>
      </c>
      <c r="AM42" s="1">
        <f>192.294+42.917</f>
        <v>235.21100000000001</v>
      </c>
      <c r="AN42" s="1">
        <f>192.294+20.275</f>
        <v>212.56900000000002</v>
      </c>
      <c r="AO42" s="1">
        <f>192.294+2.233</f>
        <v>194.52700000000002</v>
      </c>
    </row>
    <row r="43" spans="1:54" x14ac:dyDescent="0.2">
      <c r="A43" s="1" t="s">
        <v>63</v>
      </c>
      <c r="J43" s="1">
        <v>20.501999999999999</v>
      </c>
      <c r="K43" s="1">
        <v>21.381</v>
      </c>
      <c r="L43" s="1">
        <v>23.829000000000001</v>
      </c>
      <c r="M43" s="1">
        <v>24.312999999999999</v>
      </c>
      <c r="N43" s="1">
        <v>23.23</v>
      </c>
      <c r="O43" s="1">
        <v>22.308</v>
      </c>
      <c r="P43" s="1">
        <v>21.172999999999998</v>
      </c>
      <c r="Q43" s="1">
        <v>22.018000000000001</v>
      </c>
      <c r="AH43" s="1">
        <v>33.621000000000002</v>
      </c>
      <c r="AI43" s="1">
        <v>26.38</v>
      </c>
      <c r="AJ43" s="1">
        <v>28.588000000000001</v>
      </c>
      <c r="AK43" s="1">
        <v>22.22</v>
      </c>
      <c r="AL43" s="1">
        <v>26.241</v>
      </c>
      <c r="AM43" s="1">
        <v>21.645</v>
      </c>
      <c r="AN43" s="1">
        <v>24.312999999999999</v>
      </c>
      <c r="AO43" s="1">
        <v>22.018000000000001</v>
      </c>
    </row>
    <row r="44" spans="1:54" x14ac:dyDescent="0.2">
      <c r="A44" s="1" t="s">
        <v>62</v>
      </c>
      <c r="J44" s="1">
        <v>31.795000000000002</v>
      </c>
      <c r="K44" s="1">
        <v>48.173000000000002</v>
      </c>
      <c r="L44" s="1">
        <v>46.432000000000002</v>
      </c>
      <c r="M44" s="1">
        <v>44.624000000000002</v>
      </c>
      <c r="N44" s="1">
        <v>44.759</v>
      </c>
      <c r="O44" s="1">
        <v>44.316000000000003</v>
      </c>
      <c r="P44" s="1">
        <v>42.133000000000003</v>
      </c>
      <c r="Q44" s="1">
        <v>41.110999999999997</v>
      </c>
      <c r="AH44" s="1">
        <v>45.689</v>
      </c>
      <c r="AI44" s="1">
        <v>35.393000000000001</v>
      </c>
      <c r="AJ44" s="1">
        <v>32.667000000000002</v>
      </c>
      <c r="AK44" s="1">
        <v>43.609000000000002</v>
      </c>
      <c r="AL44" s="1">
        <v>31.488</v>
      </c>
      <c r="AM44" s="1">
        <v>35.814999999999998</v>
      </c>
      <c r="AN44" s="1">
        <v>44.624000000000002</v>
      </c>
      <c r="AO44" s="1">
        <v>41.110999999999997</v>
      </c>
    </row>
    <row r="45" spans="1:54" x14ac:dyDescent="0.2">
      <c r="A45" s="1" t="s">
        <v>61</v>
      </c>
      <c r="J45" s="1">
        <f>26.416+6.39</f>
        <v>32.805999999999997</v>
      </c>
      <c r="K45" s="1">
        <f>25.269+9.363</f>
        <v>34.631999999999998</v>
      </c>
      <c r="L45" s="1">
        <f>25.85+7.628</f>
        <v>33.478000000000002</v>
      </c>
      <c r="M45" s="1">
        <f>24.384+10.635</f>
        <v>35.018999999999998</v>
      </c>
      <c r="N45" s="1">
        <f>25.419+11.392</f>
        <v>36.811</v>
      </c>
      <c r="O45" s="1">
        <f>22.419+5.323</f>
        <v>27.742000000000001</v>
      </c>
      <c r="P45" s="1">
        <f>23.674+6.064</f>
        <v>29.738</v>
      </c>
      <c r="Q45" s="1">
        <f>24.688+6.211</f>
        <v>30.899000000000001</v>
      </c>
      <c r="AH45" s="1">
        <f>8.657+5.981</f>
        <v>14.638</v>
      </c>
      <c r="AI45" s="1">
        <f>10.426+14.071</f>
        <v>24.497</v>
      </c>
      <c r="AJ45" s="1">
        <f>2.489+21.434</f>
        <v>23.923000000000002</v>
      </c>
      <c r="AK45" s="1">
        <f>19.13+6.95</f>
        <v>26.08</v>
      </c>
      <c r="AL45" s="1">
        <f>18.769+5.049</f>
        <v>23.817999999999998</v>
      </c>
      <c r="AM45" s="1">
        <f>23.737+6.89</f>
        <v>30.626999999999999</v>
      </c>
      <c r="AN45" s="1">
        <f>24.384+10.635</f>
        <v>35.018999999999998</v>
      </c>
      <c r="AO45" s="1">
        <f>24.688+6.211</f>
        <v>30.899000000000001</v>
      </c>
    </row>
    <row r="46" spans="1:54" x14ac:dyDescent="0.2">
      <c r="A46" s="1" t="s">
        <v>64</v>
      </c>
      <c r="J46" s="1">
        <v>1.282</v>
      </c>
      <c r="K46" s="1">
        <v>1.0029999999999999</v>
      </c>
      <c r="L46" s="1">
        <v>1.0069999999999999</v>
      </c>
      <c r="M46" s="1">
        <v>1.206</v>
      </c>
      <c r="N46" s="1">
        <v>1.1220000000000001</v>
      </c>
      <c r="O46" s="1">
        <v>1.2110000000000001</v>
      </c>
      <c r="P46" s="1">
        <v>1.202</v>
      </c>
      <c r="Q46" s="1">
        <v>1.288</v>
      </c>
      <c r="AH46" s="1">
        <v>7.4530000000000003</v>
      </c>
      <c r="AI46" s="1">
        <v>5.2960000000000003</v>
      </c>
      <c r="AJ46" s="1">
        <v>5.6260000000000003</v>
      </c>
      <c r="AK46" s="1">
        <v>4.2729999999999997</v>
      </c>
      <c r="AL46" s="1">
        <v>4.1150000000000002</v>
      </c>
      <c r="AM46" s="1">
        <v>1.1579999999999999</v>
      </c>
      <c r="AN46" s="1">
        <v>1.206</v>
      </c>
      <c r="AO46" s="1">
        <v>1.288</v>
      </c>
    </row>
    <row r="47" spans="1:54" x14ac:dyDescent="0.2">
      <c r="A47" s="1" t="s">
        <v>77</v>
      </c>
      <c r="J47" s="1">
        <v>14.002000000000001</v>
      </c>
      <c r="K47" s="1">
        <v>12.55</v>
      </c>
      <c r="L47" s="1">
        <v>14.14</v>
      </c>
      <c r="M47" s="1">
        <v>14.823</v>
      </c>
      <c r="N47" s="1">
        <v>15.105</v>
      </c>
      <c r="O47" s="1">
        <v>11.666</v>
      </c>
      <c r="P47" s="1">
        <v>14.57</v>
      </c>
      <c r="Q47" s="1">
        <v>13.311</v>
      </c>
      <c r="AH47" s="1">
        <v>31.609000000000002</v>
      </c>
      <c r="AI47" s="1">
        <v>26.4</v>
      </c>
      <c r="AJ47" s="1">
        <v>25.315000000000001</v>
      </c>
      <c r="AK47" s="1">
        <v>26.146000000000001</v>
      </c>
      <c r="AL47" s="1">
        <v>19.585000000000001</v>
      </c>
      <c r="AM47" s="1">
        <v>14.66</v>
      </c>
      <c r="AN47" s="1">
        <v>14.823</v>
      </c>
      <c r="AO47" s="1">
        <v>13.311</v>
      </c>
    </row>
    <row r="48" spans="1:54" x14ac:dyDescent="0.2">
      <c r="A48" s="1" t="s">
        <v>65</v>
      </c>
      <c r="J48" s="1">
        <f>69.192+46.177+37.309</f>
        <v>152.678</v>
      </c>
      <c r="K48" s="1">
        <f>76.47+51.589+33.26</f>
        <v>161.31899999999999</v>
      </c>
      <c r="L48" s="1">
        <f>77.096+47.458+26.117</f>
        <v>150.67099999999999</v>
      </c>
      <c r="M48" s="1">
        <f>69.156+42.778+36.209</f>
        <v>148.143</v>
      </c>
      <c r="N48" s="1">
        <f>73.473+43.768+40.783</f>
        <v>158.024</v>
      </c>
      <c r="O48" s="1">
        <f>73.089+48.322+35.877</f>
        <v>157.28800000000001</v>
      </c>
      <c r="P48" s="1">
        <f>60.913+43.386+30.685</f>
        <v>134.98400000000001</v>
      </c>
      <c r="Q48" s="1">
        <f>78.538+48.441+30.632</f>
        <v>157.61099999999999</v>
      </c>
      <c r="AH48" s="1">
        <f>114.254+25.15+26.396</f>
        <v>165.8</v>
      </c>
      <c r="AI48" s="1">
        <f>92.53+22.512+54.977</f>
        <v>170.01900000000001</v>
      </c>
      <c r="AJ48" s="1">
        <f>99.776+34.374+45.351</f>
        <v>179.501</v>
      </c>
      <c r="AK48" s="1">
        <f>79.661+58.313+26.765</f>
        <v>164.73899999999998</v>
      </c>
      <c r="AL48" s="1">
        <f>56.179+67.311+25.429</f>
        <v>148.91900000000001</v>
      </c>
      <c r="AM48" s="1">
        <f>65.743+48.298+36.803</f>
        <v>150.84399999999999</v>
      </c>
      <c r="AN48" s="1">
        <f>69.156+42.778+36.209</f>
        <v>148.143</v>
      </c>
      <c r="AO48" s="1">
        <f>78.538+48.441+30.632</f>
        <v>157.61099999999999</v>
      </c>
    </row>
    <row r="49" spans="1:41" x14ac:dyDescent="0.2">
      <c r="A49" s="1" t="s">
        <v>67</v>
      </c>
      <c r="J49" s="1">
        <v>231.75299999999999</v>
      </c>
      <c r="K49" s="1">
        <v>127.745</v>
      </c>
      <c r="L49" s="1">
        <v>235.85400000000001</v>
      </c>
      <c r="M49" s="1">
        <v>227.66200000000001</v>
      </c>
      <c r="N49" s="1">
        <v>224.22499999999999</v>
      </c>
      <c r="O49" s="1">
        <v>204.941</v>
      </c>
      <c r="P49" s="1">
        <v>205.86799999999999</v>
      </c>
      <c r="Q49" s="1">
        <v>207.74</v>
      </c>
      <c r="AH49" s="1">
        <v>4.2229999999999999</v>
      </c>
      <c r="AI49" s="1">
        <f>3.899+0.021</f>
        <v>3.92</v>
      </c>
      <c r="AJ49" s="1">
        <f>4.573+222.579</f>
        <v>227.15200000000002</v>
      </c>
      <c r="AK49" s="1">
        <f>8.733+140.93</f>
        <v>149.66300000000001</v>
      </c>
      <c r="AL49" s="1">
        <f>17.982+150</f>
        <v>167.982</v>
      </c>
      <c r="AM49" s="1">
        <f>13.814+171</f>
        <v>184.81399999999999</v>
      </c>
      <c r="AN49" s="1">
        <v>227.66200000000001</v>
      </c>
      <c r="AO49" s="1">
        <v>207.74</v>
      </c>
    </row>
    <row r="50" spans="1:41" x14ac:dyDescent="0.2">
      <c r="A50" s="1" t="s">
        <v>35</v>
      </c>
      <c r="J50" s="1">
        <v>89.495999999999995</v>
      </c>
      <c r="K50" s="1">
        <v>188.31399999999999</v>
      </c>
      <c r="L50" s="1">
        <v>89.572999999999993</v>
      </c>
      <c r="M50" s="1">
        <v>87.531999999999996</v>
      </c>
      <c r="N50" s="1">
        <v>59.631999999999998</v>
      </c>
      <c r="O50" s="1">
        <v>53.182000000000002</v>
      </c>
      <c r="P50" s="1">
        <v>64.584999999999994</v>
      </c>
      <c r="Q50" s="1">
        <v>55.912999999999997</v>
      </c>
      <c r="AH50" s="1">
        <v>120.85</v>
      </c>
      <c r="AI50" s="1">
        <v>247.67500000000001</v>
      </c>
      <c r="AJ50" s="1">
        <v>213.941</v>
      </c>
      <c r="AK50" s="1">
        <v>231.52</v>
      </c>
      <c r="AL50" s="1">
        <v>205.82</v>
      </c>
      <c r="AM50" s="1">
        <v>132.72900000000001</v>
      </c>
      <c r="AN50" s="1">
        <v>87.531999999999996</v>
      </c>
      <c r="AO50" s="1">
        <v>55.912999999999997</v>
      </c>
    </row>
    <row r="51" spans="1:41" x14ac:dyDescent="0.2">
      <c r="A51" s="1" t="s">
        <v>176</v>
      </c>
      <c r="AH51" s="1">
        <v>0</v>
      </c>
      <c r="AI51" s="1">
        <v>128.32300000000001</v>
      </c>
    </row>
    <row r="52" spans="1:41" s="6" customFormat="1" x14ac:dyDescent="0.2">
      <c r="A52" s="6" t="s">
        <v>68</v>
      </c>
      <c r="J52" s="6">
        <f>+SUM(J42:J50)</f>
        <v>803.14199999999994</v>
      </c>
      <c r="K52" s="6">
        <f t="shared" ref="K52:L52" si="147">+SUM(K42:K50)</f>
        <v>817.83799999999997</v>
      </c>
      <c r="L52" s="6">
        <f t="shared" si="147"/>
        <v>812.44799999999998</v>
      </c>
      <c r="M52" s="6">
        <f>+SUM(M42:M50)</f>
        <v>795.89100000000008</v>
      </c>
      <c r="N52" s="6">
        <f>+SUM(N42:N50)</f>
        <v>771.03</v>
      </c>
      <c r="O52" s="6">
        <f>+SUM(O42:O50)</f>
        <v>726.34</v>
      </c>
      <c r="P52" s="6">
        <f>+SUM(P42:P50)</f>
        <v>713.57400000000007</v>
      </c>
      <c r="Q52" s="6">
        <f>+SUM(Q42:Q50)</f>
        <v>724.41800000000001</v>
      </c>
      <c r="Z52" s="6">
        <f t="shared" ref="Z52:AH52" si="148">+SUM(Z42:Z51)</f>
        <v>0</v>
      </c>
      <c r="AA52" s="6">
        <f t="shared" si="148"/>
        <v>0</v>
      </c>
      <c r="AB52" s="6">
        <f t="shared" si="148"/>
        <v>0</v>
      </c>
      <c r="AC52" s="6">
        <f t="shared" si="148"/>
        <v>0</v>
      </c>
      <c r="AD52" s="6">
        <f t="shared" si="148"/>
        <v>0</v>
      </c>
      <c r="AE52" s="6">
        <f t="shared" si="148"/>
        <v>0</v>
      </c>
      <c r="AF52" s="6">
        <f t="shared" si="148"/>
        <v>0</v>
      </c>
      <c r="AG52" s="6">
        <f t="shared" si="148"/>
        <v>0</v>
      </c>
      <c r="AH52" s="6">
        <f t="shared" si="148"/>
        <v>1398.5989999999997</v>
      </c>
      <c r="AI52" s="6">
        <f>+SUM(AI42:AI51)</f>
        <v>1494.9250000000002</v>
      </c>
      <c r="AJ52" s="6">
        <f t="shared" ref="AJ52:AM52" si="149">+SUM(AJ42:AJ50)</f>
        <v>1309.1670000000001</v>
      </c>
      <c r="AK52" s="6">
        <f t="shared" si="149"/>
        <v>978.01900000000001</v>
      </c>
      <c r="AL52" s="6">
        <f t="shared" si="149"/>
        <v>890.74</v>
      </c>
      <c r="AM52" s="6">
        <f t="shared" si="149"/>
        <v>807.50300000000004</v>
      </c>
      <c r="AN52" s="6">
        <f>+SUM(AN42:AN50)</f>
        <v>795.89100000000008</v>
      </c>
      <c r="AO52" s="6">
        <f>+SUM(AO42:AO50)</f>
        <v>724.41800000000001</v>
      </c>
    </row>
    <row r="53" spans="1:41" x14ac:dyDescent="0.2">
      <c r="A53" s="1" t="s">
        <v>62</v>
      </c>
      <c r="J53" s="1">
        <f>25.248+8.649</f>
        <v>33.896999999999998</v>
      </c>
      <c r="K53" s="1">
        <f>41.32+8.846</f>
        <v>50.165999999999997</v>
      </c>
      <c r="L53" s="1">
        <f>39.956+8.183</f>
        <v>48.139000000000003</v>
      </c>
      <c r="M53" s="1">
        <f>38.441+8.272</f>
        <v>46.713000000000001</v>
      </c>
      <c r="N53" s="1">
        <f>39.041+8.038</f>
        <v>47.078999999999994</v>
      </c>
      <c r="O53" s="1">
        <f>37.852+9.077</f>
        <v>46.928999999999995</v>
      </c>
      <c r="P53" s="1">
        <f>35.575+8.992</f>
        <v>44.567000000000007</v>
      </c>
      <c r="Q53" s="1">
        <f>34.552+8.964</f>
        <v>43.515999999999998</v>
      </c>
      <c r="AH53" s="1">
        <f>33.172+15.006</f>
        <v>48.177999999999997</v>
      </c>
      <c r="AI53" s="1">
        <f>25.558+13.172</f>
        <v>38.730000000000004</v>
      </c>
      <c r="AJ53" s="1">
        <f>22.531+11.737</f>
        <v>34.268000000000001</v>
      </c>
      <c r="AK53" s="1">
        <f>28.801+14.872</f>
        <v>43.673000000000002</v>
      </c>
      <c r="AL53" s="1">
        <f>20.004+13.335</f>
        <v>33.338999999999999</v>
      </c>
      <c r="AM53" s="1">
        <f>26.654+11.071</f>
        <v>37.725000000000001</v>
      </c>
      <c r="AN53" s="1">
        <f>38.441+8.272</f>
        <v>46.713000000000001</v>
      </c>
      <c r="AO53" s="1">
        <f>34.552+8.964</f>
        <v>43.515999999999998</v>
      </c>
    </row>
    <row r="54" spans="1:41" x14ac:dyDescent="0.2">
      <c r="A54" s="1" t="s">
        <v>64</v>
      </c>
      <c r="J54" s="1">
        <v>1.2809999999999999</v>
      </c>
      <c r="K54" s="1">
        <v>0.69199999999999995</v>
      </c>
      <c r="L54" s="1">
        <v>0.42699999999999999</v>
      </c>
      <c r="M54" s="1">
        <v>1.04</v>
      </c>
      <c r="N54" s="1">
        <v>1.403</v>
      </c>
      <c r="O54" s="1">
        <v>0.75700000000000001</v>
      </c>
      <c r="P54" s="1">
        <v>0.35399999999999998</v>
      </c>
      <c r="Q54" s="1">
        <v>0</v>
      </c>
      <c r="AH54" s="1">
        <v>85.804000000000002</v>
      </c>
      <c r="AI54" s="1">
        <v>80.436000000000007</v>
      </c>
      <c r="AJ54" s="1">
        <v>27.283000000000001</v>
      </c>
      <c r="AK54" s="1">
        <v>1.3440000000000001</v>
      </c>
      <c r="AL54" s="1">
        <v>3.9340000000000002</v>
      </c>
      <c r="AM54" s="1">
        <v>2.4039999999999999</v>
      </c>
      <c r="AN54" s="1">
        <v>1.04</v>
      </c>
      <c r="AO54" s="1">
        <v>0</v>
      </c>
    </row>
    <row r="55" spans="1:41" x14ac:dyDescent="0.2">
      <c r="A55" s="1" t="s">
        <v>69</v>
      </c>
      <c r="J55" s="1">
        <f>17.962+7.06</f>
        <v>25.021999999999998</v>
      </c>
      <c r="K55" s="1">
        <f>18.07+6.558</f>
        <v>24.628</v>
      </c>
      <c r="L55" s="1">
        <f>18.107+6.944</f>
        <v>25.050999999999998</v>
      </c>
      <c r="M55" s="1">
        <f>14.841+10.879</f>
        <v>25.72</v>
      </c>
      <c r="N55" s="1">
        <f>15.059+7.283</f>
        <v>22.341999999999999</v>
      </c>
      <c r="O55" s="1">
        <f>13.486+7.317</f>
        <v>20.803000000000001</v>
      </c>
      <c r="P55" s="1">
        <f>13.258+7.5</f>
        <v>20.757999999999999</v>
      </c>
      <c r="Q55" s="1">
        <f>13.516+6.883</f>
        <v>20.399000000000001</v>
      </c>
      <c r="AH55" s="1">
        <f>43.727+37.173</f>
        <v>80.900000000000006</v>
      </c>
      <c r="AI55" s="1">
        <f>62.085+28.99</f>
        <v>91.075000000000003</v>
      </c>
      <c r="AJ55" s="1">
        <f>46.746+8.274</f>
        <v>55.02</v>
      </c>
      <c r="AK55" s="1">
        <f>41.014+7.918</f>
        <v>48.932000000000002</v>
      </c>
      <c r="AL55" s="1">
        <f>33.484+6.537</f>
        <v>40.021000000000001</v>
      </c>
      <c r="AM55" s="1">
        <f>18.237+11.02</f>
        <v>29.256999999999998</v>
      </c>
      <c r="AN55" s="1">
        <f>14.841+10.879</f>
        <v>25.72</v>
      </c>
      <c r="AO55" s="1">
        <f>13.516+6.883</f>
        <v>20.399000000000001</v>
      </c>
    </row>
    <row r="56" spans="1:41" x14ac:dyDescent="0.2">
      <c r="A56" s="1" t="s">
        <v>70</v>
      </c>
      <c r="J56" s="1">
        <f>289.885+151.917</f>
        <v>441.80200000000002</v>
      </c>
      <c r="K56" s="1">
        <f>276.526+161.421</f>
        <v>437.947</v>
      </c>
      <c r="L56" s="1">
        <f>278.533+161.375</f>
        <v>439.90800000000002</v>
      </c>
      <c r="M56" s="1">
        <f>267.059+166.171</f>
        <v>433.23</v>
      </c>
      <c r="N56" s="1">
        <f>271.722+170.453</f>
        <v>442.17499999999995</v>
      </c>
      <c r="O56" s="1">
        <f>298.202+138.431</f>
        <v>436.63300000000004</v>
      </c>
      <c r="P56" s="1">
        <f>293.048+134.477</f>
        <v>427.52499999999998</v>
      </c>
      <c r="Q56" s="1">
        <f>285.782+146.701</f>
        <v>432.48299999999995</v>
      </c>
      <c r="AH56" s="1">
        <f>148.058+113.246</f>
        <v>261.30399999999997</v>
      </c>
      <c r="AI56" s="1">
        <f>155.875+125.035</f>
        <v>280.90999999999997</v>
      </c>
      <c r="AJ56" s="1">
        <f>216.378+152.939</f>
        <v>369.31700000000001</v>
      </c>
      <c r="AK56" s="1">
        <f>238.793+164.913</f>
        <v>403.70600000000002</v>
      </c>
      <c r="AL56" s="1">
        <f>259.628+181.099</f>
        <v>440.72699999999998</v>
      </c>
      <c r="AM56" s="1">
        <f>263.043+175.607</f>
        <v>438.65</v>
      </c>
      <c r="AN56" s="1">
        <f>267.059+166.171</f>
        <v>433.23</v>
      </c>
      <c r="AO56" s="1">
        <f>285.782+146.701</f>
        <v>432.48299999999995</v>
      </c>
    </row>
    <row r="57" spans="1:41" x14ac:dyDescent="0.2">
      <c r="A57" s="1" t="s">
        <v>71</v>
      </c>
      <c r="J57" s="1">
        <v>10.981</v>
      </c>
      <c r="K57" s="1">
        <v>16.574999999999999</v>
      </c>
      <c r="L57" s="1">
        <v>10.471</v>
      </c>
      <c r="M57" s="1">
        <v>21.167999999999999</v>
      </c>
      <c r="N57" s="1">
        <v>17.794</v>
      </c>
      <c r="O57" s="1">
        <v>11.398999999999999</v>
      </c>
      <c r="P57" s="1">
        <v>17.405000000000001</v>
      </c>
      <c r="Q57" s="1">
        <v>21.167999999999999</v>
      </c>
      <c r="AH57" s="1">
        <v>51.441000000000003</v>
      </c>
      <c r="AI57" s="1">
        <v>51.076000000000001</v>
      </c>
      <c r="AJ57" s="1">
        <v>47.085000000000001</v>
      </c>
      <c r="AK57" s="1">
        <v>21.998000000000001</v>
      </c>
      <c r="AL57" s="1">
        <v>14.022</v>
      </c>
      <c r="AM57" s="1">
        <v>6.1020000000000003</v>
      </c>
      <c r="AN57" s="1">
        <v>21.167999999999999</v>
      </c>
      <c r="AO57" s="1">
        <v>21.167999999999999</v>
      </c>
    </row>
    <row r="58" spans="1:41" x14ac:dyDescent="0.2">
      <c r="A58" s="1" t="s">
        <v>72</v>
      </c>
      <c r="J58" s="1">
        <v>18.643999999999998</v>
      </c>
      <c r="K58" s="1">
        <v>20.100000000000001</v>
      </c>
      <c r="L58" s="1">
        <v>19.715</v>
      </c>
      <c r="M58" s="1">
        <v>17.077999999999999</v>
      </c>
      <c r="N58" s="1">
        <v>15.731</v>
      </c>
      <c r="O58" s="1">
        <v>13.494</v>
      </c>
      <c r="P58" s="1">
        <v>12.852</v>
      </c>
      <c r="Q58" s="1">
        <v>14.282</v>
      </c>
      <c r="AH58" s="1">
        <v>64.38</v>
      </c>
      <c r="AI58" s="1">
        <v>38.664999999999999</v>
      </c>
      <c r="AJ58" s="1">
        <v>26.745000000000001</v>
      </c>
      <c r="AK58" s="1">
        <v>19.084</v>
      </c>
      <c r="AL58" s="1">
        <v>19.782</v>
      </c>
      <c r="AM58" s="1">
        <v>18.920999999999999</v>
      </c>
      <c r="AN58" s="1">
        <v>17.077999999999999</v>
      </c>
      <c r="AO58" s="1">
        <v>14.282</v>
      </c>
    </row>
    <row r="59" spans="1:41" x14ac:dyDescent="0.2">
      <c r="A59" s="1" t="s">
        <v>8</v>
      </c>
      <c r="J59" s="1">
        <v>2.9860000000000002</v>
      </c>
      <c r="K59" s="1">
        <v>2.4060000000000001</v>
      </c>
      <c r="L59" s="1">
        <v>3.012</v>
      </c>
      <c r="M59" s="1">
        <v>1.5940000000000001</v>
      </c>
      <c r="N59" s="1">
        <v>1.8120000000000001</v>
      </c>
      <c r="O59" s="1">
        <v>2.8359999999999999</v>
      </c>
      <c r="P59" s="1">
        <v>2.6949999999999998</v>
      </c>
      <c r="Q59" s="1">
        <v>1.881</v>
      </c>
      <c r="AH59" s="1">
        <v>1.702</v>
      </c>
      <c r="AI59" s="1">
        <v>0.94599999999999995</v>
      </c>
      <c r="AJ59" s="1">
        <v>14.701000000000001</v>
      </c>
      <c r="AK59" s="1">
        <v>1.893</v>
      </c>
      <c r="AL59" s="1">
        <v>1.2729999999999999</v>
      </c>
      <c r="AM59" s="1">
        <v>3.133</v>
      </c>
      <c r="AN59" s="1">
        <v>1.5940000000000001</v>
      </c>
      <c r="AO59" s="1">
        <v>1.881</v>
      </c>
    </row>
    <row r="60" spans="1:41" x14ac:dyDescent="0.2">
      <c r="A60" s="1" t="s">
        <v>73</v>
      </c>
      <c r="J60" s="1">
        <v>61.713999999999999</v>
      </c>
      <c r="K60" s="1">
        <v>57.31</v>
      </c>
      <c r="L60" s="1">
        <v>62.896000000000001</v>
      </c>
      <c r="M60" s="1">
        <v>67.760000000000005</v>
      </c>
      <c r="N60" s="1">
        <v>63.04</v>
      </c>
      <c r="O60" s="1">
        <v>50.402999999999999</v>
      </c>
      <c r="P60" s="1">
        <v>46.357999999999997</v>
      </c>
      <c r="Q60" s="1">
        <v>51.841999999999999</v>
      </c>
      <c r="AH60" s="1">
        <v>82.988</v>
      </c>
      <c r="AI60" s="1">
        <v>83.570999999999998</v>
      </c>
      <c r="AJ60" s="1">
        <v>68.816000000000003</v>
      </c>
      <c r="AK60" s="1">
        <v>49.773000000000003</v>
      </c>
      <c r="AL60" s="1">
        <v>54.918999999999997</v>
      </c>
      <c r="AM60" s="1">
        <v>71.704999999999998</v>
      </c>
      <c r="AN60" s="1">
        <v>67.760000000000005</v>
      </c>
      <c r="AO60" s="1">
        <v>51.841999999999999</v>
      </c>
    </row>
    <row r="61" spans="1:41" x14ac:dyDescent="0.2">
      <c r="A61" s="1" t="s">
        <v>176</v>
      </c>
      <c r="AH61" s="1">
        <v>0</v>
      </c>
      <c r="AI61" s="1">
        <v>55.406999999999996</v>
      </c>
    </row>
    <row r="62" spans="1:41" s="6" customFormat="1" x14ac:dyDescent="0.2">
      <c r="A62" s="6" t="s">
        <v>74</v>
      </c>
      <c r="J62" s="6">
        <f t="shared" ref="J62:L62" si="150">+SUM(J53:J60)</f>
        <v>596.327</v>
      </c>
      <c r="K62" s="6">
        <f t="shared" si="150"/>
        <v>609.82400000000007</v>
      </c>
      <c r="L62" s="6">
        <f t="shared" si="150"/>
        <v>609.61899999999991</v>
      </c>
      <c r="M62" s="6">
        <f>+SUM(M53:M60)</f>
        <v>614.303</v>
      </c>
      <c r="N62" s="6">
        <f>+SUM(N53:N60)</f>
        <v>611.37599999999986</v>
      </c>
      <c r="O62" s="6">
        <f>+SUM(O53:O60)</f>
        <v>583.25400000000002</v>
      </c>
      <c r="P62" s="6">
        <f>+SUM(P53:P60)</f>
        <v>572.5139999999999</v>
      </c>
      <c r="Q62" s="6">
        <f>+SUM(Q53:Q60)</f>
        <v>585.57099999999991</v>
      </c>
      <c r="Z62" s="6">
        <f t="shared" ref="Z62:AH62" si="151">+SUM(Z53:Z61)</f>
        <v>0</v>
      </c>
      <c r="AA62" s="6">
        <f t="shared" si="151"/>
        <v>0</v>
      </c>
      <c r="AB62" s="6">
        <f t="shared" si="151"/>
        <v>0</v>
      </c>
      <c r="AC62" s="6">
        <f t="shared" si="151"/>
        <v>0</v>
      </c>
      <c r="AD62" s="6">
        <f t="shared" si="151"/>
        <v>0</v>
      </c>
      <c r="AE62" s="6">
        <f t="shared" si="151"/>
        <v>0</v>
      </c>
      <c r="AF62" s="6">
        <f t="shared" si="151"/>
        <v>0</v>
      </c>
      <c r="AG62" s="6">
        <f t="shared" si="151"/>
        <v>0</v>
      </c>
      <c r="AH62" s="6">
        <f t="shared" si="151"/>
        <v>676.69699999999989</v>
      </c>
      <c r="AI62" s="6">
        <f>+SUM(AI53:AI61)</f>
        <v>720.81600000000003</v>
      </c>
      <c r="AJ62" s="6">
        <f t="shared" ref="AJ62:AM62" si="152">+SUM(AJ53:AJ60)</f>
        <v>643.23500000000013</v>
      </c>
      <c r="AK62" s="6">
        <f t="shared" si="152"/>
        <v>590.40300000000002</v>
      </c>
      <c r="AL62" s="6">
        <f t="shared" si="152"/>
        <v>608.01700000000005</v>
      </c>
      <c r="AM62" s="6">
        <f t="shared" si="152"/>
        <v>607.89700000000005</v>
      </c>
      <c r="AN62" s="6">
        <f>+SUM(AN53:AN60)</f>
        <v>614.303</v>
      </c>
      <c r="AO62" s="6">
        <f>+SUM(AO53:AO60)</f>
        <v>585.57099999999991</v>
      </c>
    </row>
    <row r="63" spans="1:41" x14ac:dyDescent="0.2">
      <c r="A63" s="1" t="s">
        <v>75</v>
      </c>
      <c r="J63" s="1">
        <v>206.815</v>
      </c>
      <c r="K63" s="1">
        <v>208.01400000000001</v>
      </c>
      <c r="L63" s="1">
        <v>202.82900000000001</v>
      </c>
      <c r="M63" s="1">
        <v>181.58799999999999</v>
      </c>
      <c r="N63" s="1">
        <v>159.654</v>
      </c>
      <c r="O63" s="1">
        <v>143.08600000000001</v>
      </c>
      <c r="P63" s="1">
        <v>141.06</v>
      </c>
      <c r="Q63" s="1">
        <v>138.84700000000001</v>
      </c>
      <c r="AH63" s="1">
        <v>721.90200000000004</v>
      </c>
      <c r="AI63" s="1">
        <v>774.10900000000004</v>
      </c>
      <c r="AJ63" s="1">
        <v>665.93200000000002</v>
      </c>
      <c r="AK63" s="1">
        <v>387.61599999999999</v>
      </c>
      <c r="AL63" s="1">
        <v>282.72300000000001</v>
      </c>
      <c r="AM63" s="1">
        <v>199.60599999999999</v>
      </c>
      <c r="AN63" s="1">
        <v>181.58799999999999</v>
      </c>
      <c r="AO63" s="1">
        <v>138.84700000000001</v>
      </c>
    </row>
    <row r="64" spans="1:41" x14ac:dyDescent="0.2">
      <c r="A64" s="1" t="s">
        <v>76</v>
      </c>
      <c r="J64" s="1">
        <f t="shared" ref="J64:L64" si="153">+J63+J62</f>
        <v>803.14200000000005</v>
      </c>
      <c r="K64" s="1">
        <f t="shared" si="153"/>
        <v>817.83800000000008</v>
      </c>
      <c r="L64" s="1">
        <f t="shared" si="153"/>
        <v>812.44799999999987</v>
      </c>
      <c r="M64" s="1">
        <f>+M63+M62</f>
        <v>795.89099999999996</v>
      </c>
      <c r="N64" s="1">
        <f>+N63+N62</f>
        <v>771.02999999999986</v>
      </c>
      <c r="O64" s="1">
        <f>+O63+O62</f>
        <v>726.34</v>
      </c>
      <c r="P64" s="1">
        <f>+P63+P62</f>
        <v>713.57399999999984</v>
      </c>
      <c r="Q64" s="1">
        <f>+Q63+Q62</f>
        <v>724.41799999999989</v>
      </c>
      <c r="Z64" s="1">
        <f t="shared" ref="Z64:AM64" si="154">+Z63+Z62</f>
        <v>0</v>
      </c>
      <c r="AA64" s="1">
        <f t="shared" si="154"/>
        <v>0</v>
      </c>
      <c r="AB64" s="1">
        <f t="shared" si="154"/>
        <v>0</v>
      </c>
      <c r="AC64" s="1">
        <f t="shared" si="154"/>
        <v>0</v>
      </c>
      <c r="AD64" s="1">
        <f t="shared" si="154"/>
        <v>0</v>
      </c>
      <c r="AE64" s="1">
        <f t="shared" si="154"/>
        <v>0</v>
      </c>
      <c r="AF64" s="1">
        <f t="shared" si="154"/>
        <v>0</v>
      </c>
      <c r="AG64" s="1">
        <f t="shared" si="154"/>
        <v>0</v>
      </c>
      <c r="AH64" s="1">
        <f t="shared" si="154"/>
        <v>1398.5989999999999</v>
      </c>
      <c r="AI64" s="1">
        <f t="shared" si="154"/>
        <v>1494.9250000000002</v>
      </c>
      <c r="AJ64" s="1">
        <f t="shared" si="154"/>
        <v>1309.1670000000001</v>
      </c>
      <c r="AK64" s="1">
        <f t="shared" si="154"/>
        <v>978.01900000000001</v>
      </c>
      <c r="AL64" s="1">
        <f t="shared" si="154"/>
        <v>890.74</v>
      </c>
      <c r="AM64" s="1">
        <f t="shared" si="154"/>
        <v>807.50300000000004</v>
      </c>
      <c r="AN64" s="1">
        <f>+AN63+AN62</f>
        <v>795.89099999999996</v>
      </c>
      <c r="AO64" s="1">
        <f>+AO63+AO62</f>
        <v>724.41799999999989</v>
      </c>
    </row>
    <row r="65" spans="1:41" s="3" customFormat="1" x14ac:dyDescent="0.2"/>
    <row r="66" spans="1:41" x14ac:dyDescent="0.2">
      <c r="A66" s="1" t="s">
        <v>78</v>
      </c>
      <c r="J66" s="1">
        <f t="shared" ref="J66:P66" si="155">+J26</f>
        <v>2.9549999999999903</v>
      </c>
      <c r="K66" s="1">
        <f t="shared" si="155"/>
        <v>-4.4039999999999999</v>
      </c>
      <c r="L66" s="1">
        <f t="shared" si="155"/>
        <v>-7.8040000000000287</v>
      </c>
      <c r="M66" s="1">
        <f t="shared" si="155"/>
        <v>-11.615000000000027</v>
      </c>
      <c r="N66" s="1">
        <f t="shared" si="155"/>
        <v>-4.85300000000003</v>
      </c>
      <c r="O66" s="1">
        <f t="shared" si="155"/>
        <v>-3.287000000000015</v>
      </c>
      <c r="P66" s="1">
        <f t="shared" si="155"/>
        <v>-4.3580000000000076</v>
      </c>
      <c r="Q66" s="1">
        <f>+Q26</f>
        <v>-5.7650000000000183</v>
      </c>
      <c r="AJ66" s="1">
        <f t="shared" ref="AH66:AN66" si="156">+AJ26</f>
        <v>-192.92400000000015</v>
      </c>
      <c r="AK66" s="1">
        <f t="shared" si="156"/>
        <v>-257.62399999999997</v>
      </c>
      <c r="AL66" s="1">
        <f t="shared" si="156"/>
        <v>-94.679000000000045</v>
      </c>
      <c r="AM66" s="1">
        <f t="shared" si="156"/>
        <v>-102.77800000000006</v>
      </c>
      <c r="AN66" s="1">
        <f t="shared" si="156"/>
        <v>-20.968000000000018</v>
      </c>
      <c r="AO66" s="1">
        <f>+AO26</f>
        <v>-17.237000000000016</v>
      </c>
    </row>
    <row r="67" spans="1:41" x14ac:dyDescent="0.2">
      <c r="A67" s="1" t="s">
        <v>79</v>
      </c>
      <c r="J67" s="1">
        <v>2.6469999999999998</v>
      </c>
      <c r="K67" s="1">
        <v>-3.5569999999999999</v>
      </c>
      <c r="L67" s="1">
        <v>-8.7379999999999995</v>
      </c>
      <c r="M67" s="1">
        <v>-10.36</v>
      </c>
      <c r="N67" s="1">
        <v>-4.9139999999999997</v>
      </c>
      <c r="O67" s="1">
        <v>-5.1980000000000004</v>
      </c>
      <c r="P67" s="1">
        <v>-4.109</v>
      </c>
      <c r="Q67" s="1">
        <v>-6.069</v>
      </c>
      <c r="AJ67" s="1">
        <v>-230.95699999999999</v>
      </c>
      <c r="AK67" s="1">
        <v>-287.70999999999998</v>
      </c>
      <c r="AL67" s="1">
        <v>-93.191000000000003</v>
      </c>
      <c r="AM67" s="1">
        <v>-97.613</v>
      </c>
      <c r="AN67" s="1">
        <f>+SUM(J67:M67)</f>
        <v>-20.007999999999999</v>
      </c>
      <c r="AO67" s="1">
        <f>+SUM(N67:Q67)</f>
        <v>-20.29</v>
      </c>
    </row>
    <row r="68" spans="1:41" x14ac:dyDescent="0.2">
      <c r="A68" s="1" t="s">
        <v>83</v>
      </c>
      <c r="J68" s="1">
        <v>3.7999999999999999E-2</v>
      </c>
      <c r="K68" s="1">
        <v>-1.0269999999999999</v>
      </c>
      <c r="L68" s="1">
        <v>1.1180000000000001</v>
      </c>
      <c r="M68" s="1">
        <v>-1.343</v>
      </c>
      <c r="N68" s="1">
        <v>0.88300000000000001</v>
      </c>
      <c r="O68" s="1">
        <v>0.56799999999999995</v>
      </c>
      <c r="P68" s="1">
        <v>-0.85399999999999998</v>
      </c>
      <c r="Q68" s="1">
        <v>-0.05</v>
      </c>
      <c r="AJ68" s="1">
        <v>-0.31900000000000001</v>
      </c>
      <c r="AK68" s="1">
        <v>-4.8869999999999996</v>
      </c>
      <c r="AL68" s="1">
        <v>7.9039999999999999</v>
      </c>
      <c r="AM68" s="1">
        <v>6.3730000000000002</v>
      </c>
      <c r="AN68" s="1">
        <f t="shared" ref="AN68:AN78" si="157">+SUM(J68:M68)</f>
        <v>-1.2139999999999997</v>
      </c>
      <c r="AO68" s="1">
        <f t="shared" ref="AO68:AO84" si="158">+SUM(N68:Q68)</f>
        <v>0.54700000000000004</v>
      </c>
    </row>
    <row r="69" spans="1:41" x14ac:dyDescent="0.2">
      <c r="A69" s="1" t="s">
        <v>82</v>
      </c>
      <c r="J69" s="1">
        <v>12.507999999999999</v>
      </c>
      <c r="K69" s="1">
        <v>11.18</v>
      </c>
      <c r="L69" s="1">
        <v>9.8369999999999997</v>
      </c>
      <c r="M69" s="1">
        <v>10.090999999999999</v>
      </c>
      <c r="N69" s="1">
        <v>8.9049999999999994</v>
      </c>
      <c r="O69" s="1">
        <v>8.8699999999999992</v>
      </c>
      <c r="P69" s="1">
        <v>8.8550000000000004</v>
      </c>
      <c r="Q69" s="1">
        <v>8.923</v>
      </c>
      <c r="AJ69" s="1">
        <v>291.98500000000001</v>
      </c>
      <c r="AK69" s="1">
        <v>285.60899999999998</v>
      </c>
      <c r="AL69" s="1">
        <v>73.671000000000006</v>
      </c>
      <c r="AM69" s="1">
        <v>56.671999999999997</v>
      </c>
      <c r="AN69" s="1">
        <f t="shared" si="157"/>
        <v>43.616</v>
      </c>
      <c r="AO69" s="1">
        <f t="shared" si="158"/>
        <v>35.552999999999997</v>
      </c>
    </row>
    <row r="70" spans="1:41" x14ac:dyDescent="0.2">
      <c r="A70" s="1" t="s">
        <v>69</v>
      </c>
      <c r="J70" s="1">
        <v>-0.45500000000000002</v>
      </c>
      <c r="K70" s="1">
        <v>-0.69699999999999995</v>
      </c>
      <c r="L70" s="1">
        <v>0.308</v>
      </c>
      <c r="M70" s="1">
        <v>-1.754</v>
      </c>
      <c r="N70" s="1">
        <v>-0.371</v>
      </c>
      <c r="O70" s="1">
        <v>-1.5129999999999999</v>
      </c>
      <c r="P70" s="1">
        <v>-0.11799999999999999</v>
      </c>
      <c r="Q70" s="1">
        <v>-4.117</v>
      </c>
      <c r="AJ70" s="1">
        <v>-28.132000000000001</v>
      </c>
      <c r="AK70" s="1">
        <v>-4.3360000000000003</v>
      </c>
      <c r="AL70" s="1">
        <v>-7.4740000000000002</v>
      </c>
      <c r="AM70" s="1">
        <v>-2.472</v>
      </c>
      <c r="AN70" s="1">
        <f t="shared" si="157"/>
        <v>-2.5979999999999999</v>
      </c>
      <c r="AO70" s="1">
        <f t="shared" si="158"/>
        <v>-6.1189999999999998</v>
      </c>
    </row>
    <row r="71" spans="1:41" x14ac:dyDescent="0.2">
      <c r="A71" s="1" t="s">
        <v>81</v>
      </c>
      <c r="J71" s="1">
        <v>2.6080000000000001</v>
      </c>
      <c r="K71" s="1">
        <v>3.944</v>
      </c>
      <c r="L71" s="1">
        <v>2.6269999999999998</v>
      </c>
      <c r="M71" s="1">
        <v>3.6219999999999999</v>
      </c>
      <c r="N71" s="1">
        <v>2.786</v>
      </c>
      <c r="O71" s="1">
        <v>3.6509999999999998</v>
      </c>
      <c r="P71" s="1">
        <v>3.6059999999999999</v>
      </c>
      <c r="Q71" s="1">
        <v>1.109</v>
      </c>
      <c r="AJ71" s="1">
        <v>4.5330000000000004</v>
      </c>
      <c r="AK71" s="1">
        <v>6.4370000000000003</v>
      </c>
      <c r="AL71" s="1">
        <v>5.9340000000000002</v>
      </c>
      <c r="AM71" s="1">
        <v>10.532</v>
      </c>
      <c r="AN71" s="1">
        <f t="shared" si="157"/>
        <v>12.800999999999998</v>
      </c>
      <c r="AO71" s="1">
        <f t="shared" si="158"/>
        <v>11.151999999999999</v>
      </c>
    </row>
    <row r="72" spans="1:41" x14ac:dyDescent="0.2">
      <c r="A72" s="1" t="s">
        <v>80</v>
      </c>
      <c r="J72" s="1">
        <v>-0.20699999999999999</v>
      </c>
      <c r="K72" s="1">
        <v>-0.13400000000000001</v>
      </c>
      <c r="L72" s="1">
        <v>0</v>
      </c>
      <c r="M72" s="1">
        <v>0</v>
      </c>
      <c r="N72" s="1">
        <v>0</v>
      </c>
      <c r="O72" s="1">
        <v>0</v>
      </c>
      <c r="P72" s="1">
        <v>0</v>
      </c>
      <c r="Q72" s="1">
        <v>0</v>
      </c>
      <c r="AJ72" s="1">
        <v>0</v>
      </c>
      <c r="AK72" s="1">
        <v>0</v>
      </c>
      <c r="AL72" s="1">
        <v>-4.5999999999999999E-2</v>
      </c>
      <c r="AM72" s="1">
        <v>-6.9000000000000006E-2</v>
      </c>
      <c r="AN72" s="1">
        <f t="shared" si="157"/>
        <v>-0.34099999999999997</v>
      </c>
      <c r="AO72" s="1">
        <f t="shared" si="158"/>
        <v>0</v>
      </c>
    </row>
    <row r="73" spans="1:41" x14ac:dyDescent="0.2">
      <c r="A73" s="1" t="s">
        <v>77</v>
      </c>
      <c r="J73" s="1">
        <v>1.1240000000000001</v>
      </c>
      <c r="K73" s="1">
        <v>1.903</v>
      </c>
      <c r="L73" s="1">
        <v>-1.583</v>
      </c>
      <c r="M73" s="1">
        <v>0.84399999999999997</v>
      </c>
      <c r="N73" s="1">
        <v>0.89800000000000002</v>
      </c>
      <c r="O73" s="1">
        <v>3.5630000000000002</v>
      </c>
      <c r="P73" s="1">
        <v>-1.917</v>
      </c>
      <c r="Q73" s="1">
        <v>1.272</v>
      </c>
      <c r="AJ73" s="1">
        <v>3.4609999999999999</v>
      </c>
      <c r="AK73" s="1">
        <v>-2.9319999999999999</v>
      </c>
      <c r="AL73" s="1">
        <v>8.7720000000000002</v>
      </c>
      <c r="AM73" s="1">
        <v>5.0860000000000003</v>
      </c>
      <c r="AN73" s="1">
        <f t="shared" si="157"/>
        <v>2.2880000000000003</v>
      </c>
      <c r="AO73" s="1">
        <f t="shared" si="158"/>
        <v>3.8160000000000007</v>
      </c>
    </row>
    <row r="74" spans="1:41" x14ac:dyDescent="0.2">
      <c r="A74" s="1" t="s">
        <v>65</v>
      </c>
      <c r="J74" s="1">
        <v>-3.9039999999999999</v>
      </c>
      <c r="K74" s="1">
        <v>-9.048</v>
      </c>
      <c r="L74" s="1">
        <v>11.682</v>
      </c>
      <c r="M74" s="1">
        <v>0.96699999999999997</v>
      </c>
      <c r="N74" s="1">
        <v>-12.084</v>
      </c>
      <c r="O74" s="1">
        <v>11.394</v>
      </c>
      <c r="P74" s="1">
        <v>18.495999999999999</v>
      </c>
      <c r="Q74" s="1">
        <v>-22.96</v>
      </c>
      <c r="AJ74" s="1">
        <v>-5.3529999999999998</v>
      </c>
      <c r="AK74" s="1">
        <v>13.741</v>
      </c>
      <c r="AL74" s="1">
        <v>17.882999999999999</v>
      </c>
      <c r="AM74" s="1">
        <v>-9.1639999999999997</v>
      </c>
      <c r="AN74" s="1">
        <f t="shared" si="157"/>
        <v>-0.3029999999999996</v>
      </c>
      <c r="AO74" s="1">
        <f t="shared" si="158"/>
        <v>-5.1540000000000035</v>
      </c>
    </row>
    <row r="75" spans="1:41" x14ac:dyDescent="0.2">
      <c r="A75" s="1" t="s">
        <v>74</v>
      </c>
      <c r="J75" s="1">
        <v>-5.0730000000000004</v>
      </c>
      <c r="K75" s="1">
        <v>-0.74099999999999999</v>
      </c>
      <c r="L75" s="1">
        <v>1.0049999999999999</v>
      </c>
      <c r="M75" s="1">
        <v>6.149</v>
      </c>
      <c r="N75" s="1">
        <v>-4.6269999999999998</v>
      </c>
      <c r="O75" s="1">
        <v>-25.884</v>
      </c>
      <c r="P75" s="1">
        <v>-8.2880000000000003</v>
      </c>
      <c r="Q75" s="1">
        <v>19.597000000000001</v>
      </c>
      <c r="AJ75" s="1">
        <v>52.369</v>
      </c>
      <c r="AK75" s="1">
        <v>-17.215</v>
      </c>
      <c r="AL75" s="1">
        <v>32.289000000000001</v>
      </c>
      <c r="AM75" s="1">
        <v>5.1239999999999997</v>
      </c>
      <c r="AN75" s="1">
        <f t="shared" si="157"/>
        <v>1.3399999999999999</v>
      </c>
      <c r="AO75" s="1">
        <f t="shared" si="158"/>
        <v>-19.201999999999998</v>
      </c>
    </row>
    <row r="76" spans="1:41" x14ac:dyDescent="0.2">
      <c r="A76" s="1" t="s">
        <v>84</v>
      </c>
      <c r="J76" s="1">
        <v>1.4239999999999999</v>
      </c>
      <c r="K76" s="1">
        <v>2.4470000000000001</v>
      </c>
      <c r="L76" s="1">
        <v>2.7549999999999999</v>
      </c>
      <c r="M76" s="1">
        <v>3.0529999999999999</v>
      </c>
      <c r="N76" s="1">
        <v>2.8769999999999998</v>
      </c>
      <c r="O76" s="1">
        <v>2.617</v>
      </c>
      <c r="P76" s="1">
        <v>2.8239999999999998</v>
      </c>
      <c r="Q76" s="1">
        <v>2.5640000000000001</v>
      </c>
      <c r="AJ76" s="1">
        <v>1.1859999999999999</v>
      </c>
      <c r="AK76" s="1">
        <v>1.0820000000000001</v>
      </c>
      <c r="AL76" s="1">
        <v>0.32600000000000001</v>
      </c>
      <c r="AM76" s="1">
        <v>0.38900000000000001</v>
      </c>
      <c r="AN76" s="1">
        <f t="shared" si="157"/>
        <v>9.6789999999999985</v>
      </c>
      <c r="AO76" s="1">
        <f t="shared" si="158"/>
        <v>10.882</v>
      </c>
    </row>
    <row r="77" spans="1:41" x14ac:dyDescent="0.2">
      <c r="A77" s="1" t="s">
        <v>85</v>
      </c>
      <c r="J77" s="1">
        <v>-0.315</v>
      </c>
      <c r="K77" s="1">
        <v>-0.442</v>
      </c>
      <c r="L77" s="1">
        <v>-0.498</v>
      </c>
      <c r="M77" s="1">
        <v>-0.47899999999999998</v>
      </c>
      <c r="N77" s="1">
        <v>-0.48399999999999999</v>
      </c>
      <c r="O77" s="1">
        <v>-0.47</v>
      </c>
      <c r="P77" s="1">
        <v>-1.024</v>
      </c>
      <c r="Q77" s="1">
        <v>-0.44700000000000001</v>
      </c>
      <c r="AJ77" s="1">
        <v>-2.3109999999999999</v>
      </c>
      <c r="AK77" s="1">
        <v>-1.956</v>
      </c>
      <c r="AL77" s="1">
        <v>-1.716</v>
      </c>
      <c r="AM77" s="1">
        <v>-1.1830000000000001</v>
      </c>
      <c r="AN77" s="1">
        <f t="shared" si="157"/>
        <v>-1.734</v>
      </c>
      <c r="AO77" s="1">
        <f t="shared" si="158"/>
        <v>-2.4249999999999998</v>
      </c>
    </row>
    <row r="78" spans="1:41" x14ac:dyDescent="0.2">
      <c r="A78" s="1" t="s">
        <v>8</v>
      </c>
      <c r="J78" s="1">
        <v>-2.5870000000000002</v>
      </c>
      <c r="K78" s="1">
        <v>-3.62</v>
      </c>
      <c r="L78" s="1">
        <v>-2.1970000000000001</v>
      </c>
      <c r="M78" s="1">
        <v>-2.427</v>
      </c>
      <c r="N78" s="1">
        <v>-2.4340000000000002</v>
      </c>
      <c r="O78" s="1">
        <v>-1.1579999999999999</v>
      </c>
      <c r="P78" s="1">
        <v>-1.1779999999999999</v>
      </c>
      <c r="Q78" s="1">
        <v>-2.6379999999999999</v>
      </c>
      <c r="AJ78" s="1">
        <v>-11.798999999999999</v>
      </c>
      <c r="AK78" s="1">
        <v>-8.0129999999999999</v>
      </c>
      <c r="AL78" s="1">
        <v>-7.569</v>
      </c>
      <c r="AM78" s="1">
        <v>-5.0830000000000002</v>
      </c>
      <c r="AN78" s="1">
        <f t="shared" si="157"/>
        <v>-10.831</v>
      </c>
      <c r="AO78" s="1">
        <f t="shared" si="158"/>
        <v>-7.4079999999999995</v>
      </c>
    </row>
    <row r="79" spans="1:41" s="6" customFormat="1" x14ac:dyDescent="0.2">
      <c r="A79" s="6" t="s">
        <v>44</v>
      </c>
      <c r="J79" s="6">
        <f t="shared" ref="J79:O79" si="159">+SUM(J67:J78)</f>
        <v>7.8079999999999945</v>
      </c>
      <c r="K79" s="6">
        <f t="shared" si="159"/>
        <v>0.2079999999999993</v>
      </c>
      <c r="L79" s="6">
        <f t="shared" si="159"/>
        <v>16.315999999999999</v>
      </c>
      <c r="M79" s="6">
        <f t="shared" si="159"/>
        <v>8.3629999999999995</v>
      </c>
      <c r="N79" s="6">
        <f t="shared" si="159"/>
        <v>-8.5650000000000013</v>
      </c>
      <c r="O79" s="6">
        <f t="shared" si="159"/>
        <v>-3.5599999999999992</v>
      </c>
      <c r="P79" s="6">
        <f>+SUM(P67:P78)</f>
        <v>16.292999999999996</v>
      </c>
      <c r="Q79" s="6">
        <f>+SUM(Q67:Q78)</f>
        <v>-2.8159999999999981</v>
      </c>
      <c r="AH79" s="1"/>
      <c r="AI79" s="1"/>
      <c r="AJ79" s="1">
        <f t="shared" ref="AH79:AN79" si="160">+SUM(AJ67:AJ78)</f>
        <v>74.663000000000011</v>
      </c>
      <c r="AK79" s="1">
        <f>+SUM(AK67:AK78)</f>
        <v>-20.18</v>
      </c>
      <c r="AL79" s="1">
        <f t="shared" si="160"/>
        <v>36.783000000000001</v>
      </c>
      <c r="AM79" s="1">
        <f t="shared" si="160"/>
        <v>-31.408000000000001</v>
      </c>
      <c r="AN79" s="1">
        <f t="shared" si="160"/>
        <v>32.695000000000007</v>
      </c>
      <c r="AO79" s="1">
        <f>+SUM(AO67:AO78)</f>
        <v>1.3519999999999985</v>
      </c>
    </row>
    <row r="81" spans="1:42" x14ac:dyDescent="0.2">
      <c r="A81" s="1" t="s">
        <v>86</v>
      </c>
      <c r="J81" s="1">
        <v>-1.371</v>
      </c>
      <c r="K81" s="1">
        <v>-2.8679999999999999</v>
      </c>
      <c r="L81" s="1">
        <v>-4.3369999999999997</v>
      </c>
      <c r="M81" s="1">
        <v>-3.2810000000000001</v>
      </c>
      <c r="N81" s="1">
        <v>-0.85099999999999998</v>
      </c>
      <c r="O81" s="1">
        <v>-1.123</v>
      </c>
      <c r="P81" s="1">
        <v>-1.3089999999999999</v>
      </c>
      <c r="Q81" s="1">
        <v>-2.2930000000000001</v>
      </c>
      <c r="AJ81" s="1">
        <f>-11.416-12.644</f>
        <v>-24.060000000000002</v>
      </c>
      <c r="AK81" s="1">
        <v>-6.298</v>
      </c>
      <c r="AL81" s="1">
        <v>-13.273999999999999</v>
      </c>
      <c r="AM81" s="1">
        <f>+-5.271-4.895</f>
        <v>-10.166</v>
      </c>
      <c r="AN81" s="1">
        <f t="shared" ref="AN81:AN84" si="161">+SUM(J81:M81)</f>
        <v>-11.857000000000001</v>
      </c>
      <c r="AO81" s="1">
        <f t="shared" si="158"/>
        <v>-5.5760000000000005</v>
      </c>
    </row>
    <row r="82" spans="1:42" x14ac:dyDescent="0.2">
      <c r="A82" s="1" t="s">
        <v>181</v>
      </c>
      <c r="AJ82" s="1">
        <v>0.28699999999999998</v>
      </c>
      <c r="AK82" s="1">
        <v>0.16200000000000001</v>
      </c>
      <c r="AL82" s="1">
        <v>0.36599999999999999</v>
      </c>
      <c r="AM82" s="1">
        <v>0.39200000000000002</v>
      </c>
    </row>
    <row r="83" spans="1:42" x14ac:dyDescent="0.2">
      <c r="A83" s="1" t="s">
        <v>87</v>
      </c>
      <c r="J83" s="1">
        <v>14.965</v>
      </c>
      <c r="K83" s="1">
        <v>0</v>
      </c>
      <c r="L83" s="1">
        <v>0</v>
      </c>
      <c r="M83" s="1">
        <v>0</v>
      </c>
      <c r="N83" s="1">
        <v>0</v>
      </c>
      <c r="O83" s="1">
        <v>0</v>
      </c>
      <c r="P83" s="1">
        <v>0</v>
      </c>
      <c r="Q83" s="1">
        <v>0</v>
      </c>
      <c r="AJ83" s="1">
        <v>873.43899999999996</v>
      </c>
      <c r="AK83" s="1">
        <v>0</v>
      </c>
      <c r="AL83" s="1">
        <v>0</v>
      </c>
      <c r="AM83" s="1">
        <v>0</v>
      </c>
      <c r="AN83" s="1">
        <f t="shared" si="161"/>
        <v>14.965</v>
      </c>
      <c r="AO83" s="1">
        <f t="shared" si="158"/>
        <v>0</v>
      </c>
    </row>
    <row r="84" spans="1:42" x14ac:dyDescent="0.2">
      <c r="A84" s="1" t="s">
        <v>66</v>
      </c>
      <c r="J84" s="1">
        <v>-60.753</v>
      </c>
      <c r="K84" s="1">
        <v>104.008</v>
      </c>
      <c r="L84" s="1">
        <v>-108.10899999999999</v>
      </c>
      <c r="M84" s="1">
        <v>8.1920000000000002</v>
      </c>
      <c r="N84" s="1">
        <v>3.4369999999999998</v>
      </c>
      <c r="O84" s="1">
        <v>19.283000000000001</v>
      </c>
      <c r="P84" s="1">
        <v>-0.92600000000000005</v>
      </c>
      <c r="Q84" s="1">
        <v>-1.873</v>
      </c>
      <c r="AJ84" s="1">
        <v>-222.57900000000001</v>
      </c>
      <c r="AK84" s="1">
        <v>79.650000000000006</v>
      </c>
      <c r="AL84" s="1">
        <v>-7.07</v>
      </c>
      <c r="AM84" s="1">
        <v>-21</v>
      </c>
      <c r="AN84" s="1">
        <f t="shared" si="161"/>
        <v>-56.661999999999999</v>
      </c>
      <c r="AO84" s="1">
        <f t="shared" si="158"/>
        <v>19.921000000000003</v>
      </c>
    </row>
    <row r="85" spans="1:42" x14ac:dyDescent="0.2">
      <c r="A85" s="1" t="s">
        <v>88</v>
      </c>
      <c r="J85" s="1">
        <f t="shared" ref="J85:P85" si="162">+SUM(J81:J84)</f>
        <v>-47.158999999999999</v>
      </c>
      <c r="K85" s="1">
        <f t="shared" si="162"/>
        <v>101.14</v>
      </c>
      <c r="L85" s="1">
        <f t="shared" si="162"/>
        <v>-112.446</v>
      </c>
      <c r="M85" s="1">
        <f t="shared" si="162"/>
        <v>4.9109999999999996</v>
      </c>
      <c r="N85" s="1">
        <f t="shared" si="162"/>
        <v>2.5859999999999999</v>
      </c>
      <c r="O85" s="1">
        <f t="shared" si="162"/>
        <v>18.16</v>
      </c>
      <c r="P85" s="1">
        <f t="shared" si="162"/>
        <v>-2.2349999999999999</v>
      </c>
      <c r="Q85" s="1">
        <f>+SUM(Q81:Q84)</f>
        <v>-4.1660000000000004</v>
      </c>
      <c r="AJ85" s="1">
        <f t="shared" ref="AH85:AN85" si="163">+SUM(AJ81:AJ84)</f>
        <v>627.08699999999999</v>
      </c>
      <c r="AK85" s="1">
        <f t="shared" si="163"/>
        <v>73.51400000000001</v>
      </c>
      <c r="AL85" s="1">
        <f t="shared" si="163"/>
        <v>-19.978000000000002</v>
      </c>
      <c r="AM85" s="1">
        <f t="shared" si="163"/>
        <v>-30.774000000000001</v>
      </c>
      <c r="AN85" s="1">
        <f t="shared" si="163"/>
        <v>-53.554000000000002</v>
      </c>
      <c r="AO85" s="1">
        <f>+SUM(AO81:AO84)</f>
        <v>14.345000000000002</v>
      </c>
    </row>
    <row r="87" spans="1:42" x14ac:dyDescent="0.2">
      <c r="A87" s="1" t="s">
        <v>62</v>
      </c>
      <c r="J87" s="1">
        <v>-3.456</v>
      </c>
      <c r="K87" s="1">
        <v>-3.113</v>
      </c>
      <c r="L87" s="1">
        <v>-2.9180000000000001</v>
      </c>
      <c r="M87" s="1">
        <v>-2.2789999999999999</v>
      </c>
      <c r="N87" s="1">
        <v>-2.1120000000000001</v>
      </c>
      <c r="O87" s="1">
        <v>-2.0529999999999999</v>
      </c>
      <c r="P87" s="1">
        <v>-2.4700000000000002</v>
      </c>
      <c r="Q87" s="1">
        <v>-2.379</v>
      </c>
      <c r="AJ87" s="1">
        <v>-15.615</v>
      </c>
      <c r="AK87" s="1">
        <v>-15.595000000000001</v>
      </c>
      <c r="AL87" s="1">
        <v>-14.785</v>
      </c>
      <c r="AM87" s="1">
        <v>-14.369</v>
      </c>
      <c r="AN87" s="1">
        <f t="shared" ref="AN87:AN90" si="164">+SUM(J87:M87)</f>
        <v>-11.766</v>
      </c>
      <c r="AO87" s="1">
        <f t="shared" ref="AO87:AO90" si="165">+SUM(N87:Q87)</f>
        <v>-9.0139999999999993</v>
      </c>
    </row>
    <row r="88" spans="1:42" x14ac:dyDescent="0.2">
      <c r="A88" s="1" t="s">
        <v>36</v>
      </c>
      <c r="AJ88" s="1">
        <v>-750.94899999999996</v>
      </c>
    </row>
    <row r="89" spans="1:42" x14ac:dyDescent="0.2">
      <c r="A89" s="1" t="s">
        <v>89</v>
      </c>
      <c r="J89" s="1">
        <v>0</v>
      </c>
      <c r="K89" s="1">
        <v>0.36799999999999999</v>
      </c>
      <c r="L89" s="1">
        <v>0</v>
      </c>
      <c r="M89" s="1">
        <v>0</v>
      </c>
      <c r="N89" s="1">
        <v>0</v>
      </c>
      <c r="O89" s="1">
        <v>0</v>
      </c>
      <c r="P89" s="1">
        <v>0</v>
      </c>
      <c r="Q89" s="1">
        <v>0</v>
      </c>
      <c r="AJ89" s="1">
        <v>7.4480000000000004</v>
      </c>
      <c r="AK89" s="1">
        <v>2.484</v>
      </c>
      <c r="AL89" s="1">
        <v>4.5609999999999999</v>
      </c>
      <c r="AM89" s="1">
        <v>4.0510000000000002</v>
      </c>
      <c r="AN89" s="1">
        <f t="shared" si="164"/>
        <v>0.36799999999999999</v>
      </c>
      <c r="AO89" s="1">
        <f t="shared" si="165"/>
        <v>0</v>
      </c>
    </row>
    <row r="90" spans="1:42" x14ac:dyDescent="0.2">
      <c r="A90" s="1" t="s">
        <v>90</v>
      </c>
      <c r="J90" s="1">
        <v>0</v>
      </c>
      <c r="K90" s="1">
        <v>0</v>
      </c>
      <c r="L90" s="1">
        <v>0</v>
      </c>
      <c r="M90" s="1">
        <v>-12.06</v>
      </c>
      <c r="N90" s="1">
        <v>-19.920000000000002</v>
      </c>
      <c r="O90" s="1">
        <v>-18.891999999999999</v>
      </c>
      <c r="P90" s="1">
        <v>0</v>
      </c>
      <c r="Q90" s="1">
        <v>-6.8000000000000005E-2</v>
      </c>
      <c r="AJ90" s="1">
        <v>0</v>
      </c>
      <c r="AK90" s="1">
        <v>-16.568999999999999</v>
      </c>
      <c r="AL90" s="1">
        <v>-33.430999999999997</v>
      </c>
      <c r="AM90" s="1">
        <v>0</v>
      </c>
      <c r="AN90" s="1">
        <f t="shared" si="164"/>
        <v>-12.06</v>
      </c>
      <c r="AO90" s="1">
        <f t="shared" si="165"/>
        <v>-38.879999999999995</v>
      </c>
    </row>
    <row r="91" spans="1:42" x14ac:dyDescent="0.2">
      <c r="A91" s="1" t="s">
        <v>91</v>
      </c>
      <c r="J91" s="1">
        <f t="shared" ref="J91:P91" si="166">+SUM(J87:J90)</f>
        <v>-3.456</v>
      </c>
      <c r="K91" s="1">
        <f t="shared" si="166"/>
        <v>-2.7450000000000001</v>
      </c>
      <c r="L91" s="1">
        <f t="shared" si="166"/>
        <v>-2.9180000000000001</v>
      </c>
      <c r="M91" s="1">
        <f t="shared" si="166"/>
        <v>-14.339</v>
      </c>
      <c r="N91" s="1">
        <f>+SUM(N87:N90)</f>
        <v>-22.032000000000004</v>
      </c>
      <c r="O91" s="1">
        <f t="shared" si="166"/>
        <v>-20.945</v>
      </c>
      <c r="P91" s="1">
        <f t="shared" si="166"/>
        <v>-2.4700000000000002</v>
      </c>
      <c r="Q91" s="1">
        <f>+SUM(Q87:Q90)</f>
        <v>-2.4470000000000001</v>
      </c>
      <c r="AJ91" s="1">
        <f t="shared" ref="AH91:AN91" si="167">+SUM(AJ87:AJ90)</f>
        <v>-759.11599999999999</v>
      </c>
      <c r="AK91" s="1">
        <f t="shared" si="167"/>
        <v>-29.68</v>
      </c>
      <c r="AL91" s="1">
        <f t="shared" si="167"/>
        <v>-43.655000000000001</v>
      </c>
      <c r="AM91" s="1">
        <f t="shared" si="167"/>
        <v>-10.318</v>
      </c>
      <c r="AN91" s="1">
        <f t="shared" si="167"/>
        <v>-23.457999999999998</v>
      </c>
      <c r="AO91" s="1">
        <f>+SUM(AO87:AO90)</f>
        <v>-47.893999999999991</v>
      </c>
    </row>
    <row r="93" spans="1:42" x14ac:dyDescent="0.2">
      <c r="A93" s="1" t="s">
        <v>83</v>
      </c>
      <c r="J93" s="1">
        <v>-0.42599999999999999</v>
      </c>
      <c r="K93" s="1">
        <v>0.214</v>
      </c>
      <c r="L93" s="1">
        <v>0.307</v>
      </c>
      <c r="M93" s="1">
        <v>-0.97599999999999998</v>
      </c>
      <c r="N93" s="1">
        <v>0.111</v>
      </c>
      <c r="O93" s="1">
        <v>-0.105</v>
      </c>
      <c r="P93" s="1">
        <v>-0.185</v>
      </c>
      <c r="Q93" s="1">
        <v>0.75700000000000001</v>
      </c>
      <c r="AJ93" s="1">
        <v>0.17899999999999999</v>
      </c>
      <c r="AK93" s="1">
        <v>-6.0750000000000002</v>
      </c>
      <c r="AL93" s="1">
        <v>1.1499999999999999</v>
      </c>
      <c r="AM93" s="1">
        <v>-0.59099999999999997</v>
      </c>
      <c r="AN93" s="1">
        <f t="shared" ref="AN93" si="168">+SUM(J93:M93)</f>
        <v>-0.88100000000000001</v>
      </c>
      <c r="AO93" s="1">
        <f t="shared" ref="AO93" si="169">+SUM(N93:Q93)</f>
        <v>0.57800000000000007</v>
      </c>
    </row>
    <row r="94" spans="1:42" x14ac:dyDescent="0.2">
      <c r="A94" s="1" t="s">
        <v>92</v>
      </c>
      <c r="J94" s="1">
        <f t="shared" ref="J94:P94" si="170">+J79+J85+J91+J93</f>
        <v>-43.233000000000011</v>
      </c>
      <c r="K94" s="1">
        <f t="shared" si="170"/>
        <v>98.816999999999993</v>
      </c>
      <c r="L94" s="1">
        <f t="shared" si="170"/>
        <v>-98.741</v>
      </c>
      <c r="M94" s="1">
        <f t="shared" si="170"/>
        <v>-2.0410000000000013</v>
      </c>
      <c r="N94" s="1">
        <f t="shared" si="170"/>
        <v>-27.900000000000002</v>
      </c>
      <c r="O94" s="1">
        <f t="shared" si="170"/>
        <v>-6.4499999999999993</v>
      </c>
      <c r="P94" s="1">
        <f t="shared" si="170"/>
        <v>11.402999999999995</v>
      </c>
      <c r="Q94" s="1">
        <f>+Q79+Q85+Q91+Q93</f>
        <v>-8.6719999999999988</v>
      </c>
      <c r="AJ94" s="1">
        <f>+AJ79+AJ85+AJ91+AJ93</f>
        <v>-57.186999999999983</v>
      </c>
      <c r="AK94" s="1">
        <f>+AK79+AK85+AK91+AK93</f>
        <v>17.579000000000011</v>
      </c>
      <c r="AL94" s="1">
        <f>+AL79+AL85+AL91+AL93</f>
        <v>-25.700000000000003</v>
      </c>
      <c r="AM94" s="1">
        <f>+AM79+AM85+AM91+AM93</f>
        <v>-73.090999999999994</v>
      </c>
      <c r="AN94" s="1">
        <f>+AN79+AN85+AN91+AN93</f>
        <v>-45.197999999999993</v>
      </c>
      <c r="AO94" s="1">
        <f>+AO79+AO85+AO91+AO93</f>
        <v>-31.618999999999989</v>
      </c>
    </row>
    <row r="96" spans="1:42" s="6" customFormat="1" x14ac:dyDescent="0.2">
      <c r="A96" s="6" t="s">
        <v>45</v>
      </c>
      <c r="J96" s="6">
        <f t="shared" ref="J96:L96" si="171">+J79+J81</f>
        <v>6.4369999999999941</v>
      </c>
      <c r="K96" s="6">
        <f t="shared" si="171"/>
        <v>-2.6600000000000006</v>
      </c>
      <c r="L96" s="6">
        <f t="shared" si="171"/>
        <v>11.978999999999999</v>
      </c>
      <c r="M96" s="6">
        <f>+M79+M81</f>
        <v>5.081999999999999</v>
      </c>
      <c r="N96" s="6">
        <f>+N79+N81</f>
        <v>-9.4160000000000004</v>
      </c>
      <c r="O96" s="6">
        <f>+O79+O81</f>
        <v>-4.6829999999999989</v>
      </c>
      <c r="P96" s="6">
        <f>+P79+P81</f>
        <v>14.983999999999996</v>
      </c>
      <c r="Q96" s="6">
        <f>+Q79+Q81</f>
        <v>-5.1089999999999982</v>
      </c>
      <c r="AJ96" s="6">
        <f t="shared" ref="AH96:AN96" si="172">+AJ79+AJ81</f>
        <v>50.603000000000009</v>
      </c>
      <c r="AK96" s="6">
        <f t="shared" si="172"/>
        <v>-26.478000000000002</v>
      </c>
      <c r="AL96" s="6">
        <f t="shared" si="172"/>
        <v>23.509</v>
      </c>
      <c r="AM96" s="6">
        <f t="shared" si="172"/>
        <v>-41.573999999999998</v>
      </c>
      <c r="AN96" s="6">
        <f t="shared" si="172"/>
        <v>20.838000000000008</v>
      </c>
      <c r="AO96" s="6">
        <f>+AO79+AO81</f>
        <v>-4.224000000000002</v>
      </c>
    </row>
    <row r="98" spans="1:41" x14ac:dyDescent="0.2">
      <c r="A98" s="1" t="s">
        <v>155</v>
      </c>
      <c r="AO98" s="1">
        <v>3700</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Fidel</dc:creator>
  <cp:lastModifiedBy>Fidel</cp:lastModifiedBy>
  <dcterms:created xsi:type="dcterms:W3CDTF">2025-03-21T06:31:36Z</dcterms:created>
  <dcterms:modified xsi:type="dcterms:W3CDTF">2025-03-24T19:14:20Z</dcterms:modified>
</cp:coreProperties>
</file>