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Travel Service\"/>
    </mc:Choice>
  </mc:AlternateContent>
  <xr:revisionPtr revIDLastSave="0" documentId="13_ncr:1_{A13BD303-AE0C-46EB-B3C2-184C0CB5BB4F}" xr6:coauthVersionLast="47" xr6:coauthVersionMax="47" xr10:uidLastSave="{00000000-0000-0000-0000-000000000000}"/>
  <bookViews>
    <workbookView xWindow="360" yWindow="75" windowWidth="13965" windowHeight="15300" activeTab="1" xr2:uid="{1316CCBE-CB1E-4B1E-8EB8-85047319668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0" i="2" l="1"/>
  <c r="J79" i="2"/>
  <c r="M79" i="2"/>
  <c r="L79" i="2"/>
  <c r="K79" i="2"/>
  <c r="N79" i="2"/>
  <c r="W24" i="2" l="1"/>
  <c r="V24" i="2"/>
  <c r="U24" i="2"/>
  <c r="T24" i="2"/>
  <c r="X24" i="2"/>
  <c r="S9" i="2"/>
  <c r="S10" i="2" s="1"/>
  <c r="T9" i="2"/>
  <c r="T10" i="2" s="1"/>
  <c r="U9" i="2"/>
  <c r="U10" i="2" s="1"/>
  <c r="V9" i="2"/>
  <c r="V10" i="2" s="1"/>
  <c r="V14" i="2" s="1"/>
  <c r="W9" i="2"/>
  <c r="W10" i="2" s="1"/>
  <c r="X22" i="2"/>
  <c r="X9" i="2"/>
  <c r="X10" i="2" s="1"/>
  <c r="F9" i="2"/>
  <c r="F10" i="2" s="1"/>
  <c r="E9" i="2"/>
  <c r="E10" i="2" s="1"/>
  <c r="D9" i="2"/>
  <c r="D10" i="2" s="1"/>
  <c r="J24" i="2"/>
  <c r="I24" i="2"/>
  <c r="H24" i="2"/>
  <c r="G24" i="2"/>
  <c r="F24" i="2"/>
  <c r="C9" i="2"/>
  <c r="C10" i="2" s="1"/>
  <c r="B9" i="2"/>
  <c r="B10" i="2" s="1"/>
  <c r="N50" i="2"/>
  <c r="I10" i="1"/>
  <c r="M78" i="2"/>
  <c r="L63" i="2"/>
  <c r="L62" i="2"/>
  <c r="L61" i="2"/>
  <c r="L60" i="2"/>
  <c r="L59" i="2"/>
  <c r="M59" i="2" s="1"/>
  <c r="L72" i="2"/>
  <c r="L53" i="2"/>
  <c r="L50" i="2"/>
  <c r="L43" i="2"/>
  <c r="K39" i="2"/>
  <c r="M39" i="2"/>
  <c r="N39" i="2"/>
  <c r="L33" i="2"/>
  <c r="L27" i="2"/>
  <c r="M72" i="2"/>
  <c r="I9" i="2"/>
  <c r="I10" i="2" s="1"/>
  <c r="M24" i="2"/>
  <c r="M9" i="2"/>
  <c r="M10" i="2" s="1"/>
  <c r="H9" i="2"/>
  <c r="H10" i="2" s="1"/>
  <c r="L24" i="2"/>
  <c r="L9" i="2"/>
  <c r="L10" i="2" s="1"/>
  <c r="K24" i="2"/>
  <c r="N72" i="2"/>
  <c r="J72" i="2"/>
  <c r="K72" i="2"/>
  <c r="K62" i="2"/>
  <c r="K61" i="2"/>
  <c r="K59" i="2"/>
  <c r="K43" i="2"/>
  <c r="K33" i="2"/>
  <c r="K27" i="2"/>
  <c r="K26" i="2" s="1"/>
  <c r="G9" i="2"/>
  <c r="G10" i="2" s="1"/>
  <c r="K9" i="2"/>
  <c r="K10" i="2" s="1"/>
  <c r="J60" i="2"/>
  <c r="K60" i="2" s="1"/>
  <c r="N60" i="2"/>
  <c r="N63" i="2" s="1"/>
  <c r="N64" i="2" s="1"/>
  <c r="M43" i="2"/>
  <c r="M33" i="2"/>
  <c r="M27" i="2"/>
  <c r="N43" i="2"/>
  <c r="N33" i="2"/>
  <c r="N27" i="2"/>
  <c r="N26" i="2" s="1"/>
  <c r="N24" i="2"/>
  <c r="J9" i="2"/>
  <c r="J10" i="2" s="1"/>
  <c r="N9" i="2"/>
  <c r="N10" i="2" s="1"/>
  <c r="T3" i="2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I9" i="1"/>
  <c r="I7" i="1"/>
  <c r="I6" i="1"/>
  <c r="I5" i="1"/>
  <c r="S20" i="2" l="1"/>
  <c r="S14" i="2"/>
  <c r="T20" i="2"/>
  <c r="T14" i="2"/>
  <c r="U20" i="2"/>
  <c r="U14" i="2"/>
  <c r="V20" i="2"/>
  <c r="W20" i="2"/>
  <c r="W14" i="2"/>
  <c r="X20" i="2"/>
  <c r="X14" i="2"/>
  <c r="X16" i="2" s="1"/>
  <c r="F20" i="2"/>
  <c r="F14" i="2"/>
  <c r="E20" i="2"/>
  <c r="E14" i="2"/>
  <c r="D20" i="2"/>
  <c r="D14" i="2"/>
  <c r="C20" i="2"/>
  <c r="C14" i="2"/>
  <c r="B20" i="2"/>
  <c r="B14" i="2"/>
  <c r="L64" i="2"/>
  <c r="M61" i="2"/>
  <c r="M62" i="2"/>
  <c r="M60" i="2"/>
  <c r="L46" i="2"/>
  <c r="L36" i="2"/>
  <c r="L26" i="2"/>
  <c r="I14" i="2"/>
  <c r="I20" i="2"/>
  <c r="M20" i="2"/>
  <c r="M14" i="2"/>
  <c r="H20" i="2"/>
  <c r="H14" i="2"/>
  <c r="L20" i="2"/>
  <c r="L14" i="2"/>
  <c r="N75" i="2"/>
  <c r="J63" i="2"/>
  <c r="J64" i="2" s="1"/>
  <c r="J75" i="2" s="1"/>
  <c r="N77" i="2"/>
  <c r="N46" i="2"/>
  <c r="N36" i="2"/>
  <c r="K63" i="2"/>
  <c r="K64" i="2" s="1"/>
  <c r="K77" i="2" s="1"/>
  <c r="K46" i="2"/>
  <c r="K36" i="2"/>
  <c r="G20" i="2"/>
  <c r="G14" i="2"/>
  <c r="K20" i="2"/>
  <c r="K14" i="2"/>
  <c r="N14" i="2"/>
  <c r="N16" i="2" s="1"/>
  <c r="N20" i="2"/>
  <c r="M46" i="2"/>
  <c r="M36" i="2"/>
  <c r="M26" i="2"/>
  <c r="J20" i="2"/>
  <c r="J14" i="2"/>
  <c r="S22" i="2" l="1"/>
  <c r="S16" i="2"/>
  <c r="T22" i="2"/>
  <c r="T16" i="2"/>
  <c r="U22" i="2"/>
  <c r="U16" i="2"/>
  <c r="V16" i="2"/>
  <c r="V22" i="2"/>
  <c r="W22" i="2"/>
  <c r="W16" i="2"/>
  <c r="X21" i="2"/>
  <c r="X17" i="2"/>
  <c r="F22" i="2"/>
  <c r="F16" i="2"/>
  <c r="E22" i="2"/>
  <c r="E16" i="2"/>
  <c r="D22" i="2"/>
  <c r="D16" i="2"/>
  <c r="C22" i="2"/>
  <c r="C16" i="2"/>
  <c r="B16" i="2"/>
  <c r="B22" i="2"/>
  <c r="M63" i="2"/>
  <c r="M64" i="2" s="1"/>
  <c r="M77" i="2" s="1"/>
  <c r="L77" i="2"/>
  <c r="L75" i="2"/>
  <c r="L47" i="2"/>
  <c r="L48" i="2" s="1"/>
  <c r="J77" i="2"/>
  <c r="N47" i="2"/>
  <c r="N48" i="2" s="1"/>
  <c r="I16" i="2"/>
  <c r="M16" i="2"/>
  <c r="M53" i="2" s="1"/>
  <c r="H22" i="2"/>
  <c r="H16" i="2"/>
  <c r="L16" i="2"/>
  <c r="L22" i="2"/>
  <c r="K16" i="2"/>
  <c r="K53" i="2" s="1"/>
  <c r="K22" i="2"/>
  <c r="K75" i="2"/>
  <c r="K47" i="2"/>
  <c r="K48" i="2" s="1"/>
  <c r="G16" i="2"/>
  <c r="G22" i="2"/>
  <c r="N53" i="2"/>
  <c r="N21" i="2"/>
  <c r="N17" i="2"/>
  <c r="M47" i="2"/>
  <c r="M48" i="2" s="1"/>
  <c r="J16" i="2"/>
  <c r="S21" i="2" l="1"/>
  <c r="S17" i="2"/>
  <c r="T21" i="2"/>
  <c r="T17" i="2"/>
  <c r="U21" i="2"/>
  <c r="U17" i="2"/>
  <c r="V17" i="2"/>
  <c r="V21" i="2"/>
  <c r="W21" i="2"/>
  <c r="W17" i="2"/>
  <c r="F21" i="2"/>
  <c r="F17" i="2"/>
  <c r="E17" i="2"/>
  <c r="E21" i="2"/>
  <c r="D21" i="2"/>
  <c r="D17" i="2"/>
  <c r="C21" i="2"/>
  <c r="C17" i="2"/>
  <c r="B21" i="2"/>
  <c r="B17" i="2"/>
  <c r="M75" i="2"/>
  <c r="J53" i="2"/>
  <c r="M51" i="2"/>
  <c r="K17" i="2"/>
  <c r="K21" i="2"/>
  <c r="I21" i="2"/>
  <c r="I17" i="2"/>
  <c r="M21" i="2"/>
  <c r="M17" i="2"/>
  <c r="H21" i="2"/>
  <c r="H17" i="2"/>
  <c r="L21" i="2"/>
  <c r="L17" i="2"/>
  <c r="G21" i="2"/>
  <c r="G17" i="2"/>
  <c r="J21" i="2"/>
  <c r="J17" i="2"/>
  <c r="M50" i="2" l="1"/>
  <c r="K50" i="2"/>
</calcChain>
</file>

<file path=xl/sharedStrings.xml><?xml version="1.0" encoding="utf-8"?>
<sst xmlns="http://schemas.openxmlformats.org/spreadsheetml/2006/main" count="96" uniqueCount="76">
  <si>
    <t>Tripadvisor</t>
  </si>
  <si>
    <t>(TRIP)</t>
  </si>
  <si>
    <t>(in millions)</t>
  </si>
  <si>
    <t>Price</t>
  </si>
  <si>
    <t>Shares</t>
  </si>
  <si>
    <t>MC</t>
  </si>
  <si>
    <t>Cash</t>
  </si>
  <si>
    <t>Debt</t>
  </si>
  <si>
    <t>EV</t>
  </si>
  <si>
    <t>Revenue</t>
  </si>
  <si>
    <t>COGS</t>
  </si>
  <si>
    <t>S&amp;M</t>
  </si>
  <si>
    <t>R&amp;D</t>
  </si>
  <si>
    <t>G&amp;A</t>
  </si>
  <si>
    <t>Operating expense</t>
  </si>
  <si>
    <t>Operating income</t>
  </si>
  <si>
    <t>Interest expense</t>
  </si>
  <si>
    <t>Interest income</t>
  </si>
  <si>
    <t>Other</t>
  </si>
  <si>
    <t>Pretax</t>
  </si>
  <si>
    <t>Taxes</t>
  </si>
  <si>
    <t>Net income</t>
  </si>
  <si>
    <t>EPS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</si>
  <si>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</si>
  <si>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</si>
  <si>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</si>
  <si>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</si>
  <si>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</si>
  <si>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</si>
  <si>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</si>
  <si>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</si>
  <si>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</si>
  <si>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</si>
  <si>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</si>
  <si>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</si>
  <si>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</si>
  <si>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</si>
  <si>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</si>
  <si>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</si>
  <si>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Operating margin</t>
  </si>
  <si>
    <t>Net margin</t>
  </si>
  <si>
    <t>Tax rate</t>
  </si>
  <si>
    <t>Revenue y/y</t>
  </si>
  <si>
    <t>Net cash</t>
  </si>
  <si>
    <t>L+S/E</t>
  </si>
  <si>
    <t>S/E</t>
  </si>
  <si>
    <t>A/R</t>
  </si>
  <si>
    <t>Prepaid</t>
  </si>
  <si>
    <t>PP&amp;E</t>
  </si>
  <si>
    <t>Lease</t>
  </si>
  <si>
    <t>Goodwill</t>
  </si>
  <si>
    <t>D/T</t>
  </si>
  <si>
    <t>Assets</t>
  </si>
  <si>
    <t>A/P</t>
  </si>
  <si>
    <t>D/R</t>
  </si>
  <si>
    <t>Accrued</t>
  </si>
  <si>
    <t>Liabilities</t>
  </si>
  <si>
    <t>CFFO</t>
  </si>
  <si>
    <t>Model NI</t>
  </si>
  <si>
    <t>Reported NI</t>
  </si>
  <si>
    <t>D&amp;A</t>
  </si>
  <si>
    <t>SBC</t>
  </si>
  <si>
    <t>Working capital</t>
  </si>
  <si>
    <t>CapEx</t>
  </si>
  <si>
    <t>SBC taxes</t>
  </si>
  <si>
    <t>Lease obligation</t>
  </si>
  <si>
    <t>CFFF</t>
  </si>
  <si>
    <t>FX</t>
  </si>
  <si>
    <t>CIC</t>
  </si>
  <si>
    <t>FCF</t>
  </si>
  <si>
    <t>TTM</t>
  </si>
  <si>
    <t>Buybacks</t>
  </si>
  <si>
    <t>Credit cost</t>
  </si>
  <si>
    <t>ROIC</t>
  </si>
  <si>
    <t>D/MP</t>
  </si>
  <si>
    <t>FCF-SBC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</si>
</sst>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\x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2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0" fontId="1" fillId="0" borderId="0" xfId="0" applyFont="1"/>
    <xf numFmtId="3" fontId="1" fillId="0" borderId="0" xfId="0" applyNumberFormat="1" applyFont="1"/>
    <xf numFmtId="9" fontId="1" fillId="0" borderId="0" xfId="0" applyNumberFormat="1" applyFont="1"/>
    <xf numFmtId="0" fontId="0" fillId="0" borderId="0" xfId="0" applyAlignment="1">
      <alignment horizontal="left" indent="1"/>
    </xf>
    <xf numFmtId="1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38100</xdr:rowOff>
    </xdr:from>
    <xdr:to>
      <xdr:col>14</xdr:col>
      <xdr:colOff>19050</xdr:colOff>
      <xdr:row>42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8FEB505-F7F6-D1DF-9C60-60FCE714BD89}"/>
            </a:ext>
          </a:extLst>
        </xdr:cNvPr>
        <xdr:cNvCxnSpPr/>
      </xdr:nvCxnSpPr>
      <xdr:spPr>
        <a:xfrm>
          <a:off x="9829800" y="38100"/>
          <a:ext cx="0" cy="6962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0</xdr:row>
      <xdr:rowOff>28575</xdr:rowOff>
    </xdr:from>
    <xdr:to>
      <xdr:col>24</xdr:col>
      <xdr:colOff>9525</xdr:colOff>
      <xdr:row>42</xdr:row>
      <xdr:rowOff>76200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0B30FC9-4F1E-4D79-A0E3-982332AA8EF9}"/>
            </a:ext>
          </a:extLst>
        </xdr:cNvPr>
        <xdr:cNvCxnSpPr/>
      </xdr:nvCxnSpPr>
      <xdr:spPr>
        <a:xfrm>
          <a:off x="15916275" y="28575"/>
          <a:ext cx="0" cy="6962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04536-48B3-41AA-816F-764F68278D45}">
  <dimension ref="A1:I10"/>
  <sheetViews>
    <sheetView workbookViewId="0">
      <selection activeCell="I10" sqref="I10"/>
    </sheetView>
  </sheetViews>
  <sheetFormatPr defaultRowHeight="12.75" x14ac:dyDescent="0.2"/>
  <cols>
    <col min="1" max="1" width="28.28515625" bestFit="1" customWidth="1"/>
  </cols>
  <sheetData>
    <row r="1" spans="1:9" ht="34.5" x14ac:dyDescent="0.45">
      <c r="A1" s="2" t="s">
        <v>0</v>
      </c>
    </row>
    <row r="2" spans="1:9" x14ac:dyDescent="0.2">
      <c r="A2" s="1" t="s">
        <v>1</v>
      </c>
    </row>
    <row r="3" spans="1:9" x14ac:dyDescent="0.2">
      <c r="A3" s="1" t="s">
        <v>2</v>
      </c>
    </row>
    <row r="4" spans="1:9" x14ac:dyDescent="0.2">
      <c r="H4" t="s">
        <v>3</v>
      </c>
      <c r="I4" s="4">
        <v>18</v>
      </c>
    </row>
    <row r="5" spans="1:9" x14ac:dyDescent="0.2">
      <c r="H5" t="s">
        <v>4</v>
      </c>
      <c r="I5" s="3">
        <f>126.479828+12.799999</f>
        <v>139.27982700000001</v>
      </c>
    </row>
    <row r="6" spans="1:9" x14ac:dyDescent="0.2">
      <c r="H6" t="s">
        <v>5</v>
      </c>
      <c r="I6" s="3">
        <f>+I4*I5</f>
        <v>2507.0368860000003</v>
      </c>
    </row>
    <row r="7" spans="1:9" x14ac:dyDescent="0.2">
      <c r="H7" t="s">
        <v>6</v>
      </c>
      <c r="I7" s="3">
        <f>1171+32</f>
        <v>1203</v>
      </c>
    </row>
    <row r="8" spans="1:9" x14ac:dyDescent="0.2">
      <c r="H8" t="s">
        <v>7</v>
      </c>
      <c r="I8" s="3">
        <v>840</v>
      </c>
    </row>
    <row r="9" spans="1:9" x14ac:dyDescent="0.2">
      <c r="H9" t="s">
        <v>8</v>
      </c>
      <c r="I9" s="3">
        <f>+I6-I7+I8</f>
        <v>2144.0368860000003</v>
      </c>
    </row>
    <row r="10" spans="1:9" x14ac:dyDescent="0.2">
      <c r="I10" s="12">
        <f>+I9/172</f>
        <v>12.465330732558142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4ABA9-C117-4B03-9E46-834F09FEF486}">
  <dimension ref="A1:AH8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1" sqref="F31"/>
    </sheetView>
  </sheetViews>
  <sheetFormatPr defaultRowHeight="12.75" x14ac:dyDescent="0.2"/>
  <cols>
    <col min="1" max="1" width="28.28515625" bestFit="1" customWidth="1"/>
    <col min="2" max="14" width="10.140625" style="3" bestFit="1" customWidth="1"/>
    <col min="15" max="16384" width="9.140625" style="3"/>
  </cols>
  <sheetData>
    <row r="1" spans="1:34" customFormat="1" ht="34.5" x14ac:dyDescent="0.45">
      <c r="A1" s="2" t="s">
        <v>0</v>
      </c>
    </row>
    <row r="2" spans="1:34" customFormat="1" x14ac:dyDescent="0.2">
      <c r="A2" s="1" t="s">
        <v>1</v>
      </c>
      <c r="B2" s="11">
        <v>44286</v>
      </c>
      <c r="C2" s="11">
        <v>44377</v>
      </c>
      <c r="D2" s="11">
        <v>44469</v>
      </c>
      <c r="E2" s="11">
        <v>44561</v>
      </c>
      <c r="F2" s="11">
        <v>44651</v>
      </c>
      <c r="G2" s="11">
        <v>44742</v>
      </c>
      <c r="H2" s="11">
        <v>44834</v>
      </c>
      <c r="I2" s="11">
        <v>44926</v>
      </c>
      <c r="J2" s="11">
        <v>45016</v>
      </c>
      <c r="K2" s="11">
        <v>45107</v>
      </c>
      <c r="L2" s="11">
        <v>45199</v>
      </c>
      <c r="M2" s="11">
        <v>45291</v>
      </c>
      <c r="N2" s="11">
        <v>45382</v>
      </c>
    </row>
    <row r="3" spans="1:34" customFormat="1" x14ac:dyDescent="0.2">
      <c r="A3" s="1" t="s">
        <v>2</v>
      </c>
      <c r="B3" s="5" t="s">
        <v>23</v>
      </c>
      <c r="C3" s="5" t="s">
        <v>24</v>
      </c>
      <c r="D3" s="5" t="s">
        <v>25</v>
      </c>
      <c r="E3" s="5" t="s">
        <v>26</v>
      </c>
      <c r="F3" s="5" t="s">
        <v>27</v>
      </c>
      <c r="G3" s="5" t="s">
        <v>28</v>
      </c>
      <c r="H3" s="5" t="s">
        <v>29</v>
      </c>
      <c r="I3" s="5" t="s">
        <v>30</v>
      </c>
      <c r="J3" s="5" t="s">
        <v>31</v>
      </c>
      <c r="K3" s="5" t="s">
        <v>32</v>
      </c>
      <c r="L3" s="5" t="s">
        <v>33</v>
      </c>
      <c r="M3" s="5" t="s">
        <v>34</v>
      </c>
      <c r="N3" s="5" t="s">
        <v>35</v>
      </c>
      <c r="O3" s="5" t="s">
        <v>36</v>
      </c>
      <c r="P3" s="5" t="s">
        <v>37</v>
      </c>
      <c r="Q3" s="5" t="s">
        <v>38</v>
      </c>
      <c r="S3">
        <v>2018</v>
      </c>
      <c r="T3">
        <f>+S3+1</f>
        <v>2019</v>
      </c>
      <c r="U3">
        <f t="shared" ref="U3:AN3" si="0">+T3+1</f>
        <v>2020</v>
      </c>
      <c r="V3">
        <f t="shared" si="0"/>
        <v>2021</v>
      </c>
      <c r="W3">
        <f t="shared" si="0"/>
        <v>2022</v>
      </c>
      <c r="X3">
        <f t="shared" si="0"/>
        <v>2023</v>
      </c>
      <c r="Y3">
        <f t="shared" si="0"/>
        <v>2024</v>
      </c>
      <c r="Z3">
        <f t="shared" si="0"/>
        <v>2025</v>
      </c>
      <c r="AA3">
        <f t="shared" si="0"/>
        <v>2026</v>
      </c>
      <c r="AB3">
        <f t="shared" si="0"/>
        <v>2027</v>
      </c>
      <c r="AC3">
        <f t="shared" si="0"/>
        <v>2028</v>
      </c>
      <c r="AD3">
        <f t="shared" si="0"/>
        <v>2029</v>
      </c>
      <c r="AE3">
        <f t="shared" si="0"/>
        <v>2030</v>
      </c>
      <c r="AF3">
        <f t="shared" si="0"/>
        <v>2031</v>
      </c>
      <c r="AG3">
        <f t="shared" si="0"/>
        <v>2032</v>
      </c>
      <c r="AH3">
        <f t="shared" si="0"/>
        <v>2033</v>
      </c>
    </row>
    <row r="4" spans="1:34" x14ac:dyDescent="0.2">
      <c r="A4" t="s">
        <v>9</v>
      </c>
      <c r="B4" s="3">
        <v>123</v>
      </c>
      <c r="C4" s="3">
        <v>235</v>
      </c>
      <c r="D4" s="3">
        <v>303</v>
      </c>
      <c r="E4" s="3">
        <v>241</v>
      </c>
      <c r="F4" s="3">
        <v>262</v>
      </c>
      <c r="G4" s="3">
        <v>417</v>
      </c>
      <c r="H4" s="3">
        <v>459</v>
      </c>
      <c r="I4" s="3">
        <v>354</v>
      </c>
      <c r="J4" s="3">
        <v>371</v>
      </c>
      <c r="K4" s="3">
        <v>494</v>
      </c>
      <c r="L4" s="3">
        <v>533</v>
      </c>
      <c r="M4" s="3">
        <v>390</v>
      </c>
      <c r="N4" s="3">
        <v>395</v>
      </c>
      <c r="S4" s="3">
        <v>1615</v>
      </c>
      <c r="T4" s="3">
        <v>1560</v>
      </c>
      <c r="U4" s="3">
        <v>604</v>
      </c>
      <c r="V4" s="3">
        <v>902</v>
      </c>
      <c r="W4" s="3">
        <v>1492</v>
      </c>
      <c r="X4" s="3">
        <v>1788</v>
      </c>
    </row>
    <row r="5" spans="1:34" x14ac:dyDescent="0.2">
      <c r="A5" t="s">
        <v>10</v>
      </c>
      <c r="B5" s="3">
        <v>12</v>
      </c>
      <c r="C5" s="3">
        <v>19</v>
      </c>
      <c r="D5" s="3">
        <v>23</v>
      </c>
      <c r="E5" s="3">
        <v>20</v>
      </c>
      <c r="F5" s="3">
        <v>22</v>
      </c>
      <c r="G5" s="3">
        <v>31</v>
      </c>
      <c r="H5" s="3">
        <v>32</v>
      </c>
      <c r="I5" s="3">
        <v>30</v>
      </c>
      <c r="J5" s="3">
        <v>29</v>
      </c>
      <c r="K5" s="3">
        <v>41</v>
      </c>
      <c r="L5" s="3">
        <v>43</v>
      </c>
      <c r="M5" s="3">
        <v>36</v>
      </c>
      <c r="N5" s="3">
        <v>36</v>
      </c>
      <c r="S5" s="3">
        <v>86</v>
      </c>
      <c r="T5" s="3">
        <v>94</v>
      </c>
      <c r="U5" s="3">
        <v>55</v>
      </c>
      <c r="V5" s="3">
        <v>74</v>
      </c>
      <c r="W5" s="3">
        <v>116</v>
      </c>
      <c r="X5" s="3">
        <v>149</v>
      </c>
    </row>
    <row r="6" spans="1:34" x14ac:dyDescent="0.2">
      <c r="A6" t="s">
        <v>11</v>
      </c>
      <c r="B6" s="3">
        <v>73</v>
      </c>
      <c r="C6" s="3">
        <v>123</v>
      </c>
      <c r="D6" s="3">
        <v>148</v>
      </c>
      <c r="E6" s="3">
        <v>126</v>
      </c>
      <c r="F6" s="3">
        <v>141</v>
      </c>
      <c r="G6" s="3">
        <v>217</v>
      </c>
      <c r="H6" s="3">
        <v>234</v>
      </c>
      <c r="I6" s="3">
        <v>194</v>
      </c>
      <c r="J6" s="3">
        <v>219</v>
      </c>
      <c r="K6" s="3">
        <v>270</v>
      </c>
      <c r="L6" s="3">
        <v>272</v>
      </c>
      <c r="M6" s="3">
        <v>179</v>
      </c>
      <c r="N6" s="3">
        <v>221</v>
      </c>
      <c r="S6" s="3">
        <v>778</v>
      </c>
      <c r="T6" s="3">
        <v>672</v>
      </c>
      <c r="U6" s="3">
        <v>316</v>
      </c>
      <c r="V6" s="3">
        <v>469</v>
      </c>
      <c r="W6" s="3">
        <v>784</v>
      </c>
      <c r="X6" s="3">
        <v>940</v>
      </c>
    </row>
    <row r="7" spans="1:34" x14ac:dyDescent="0.2">
      <c r="A7" t="s">
        <v>12</v>
      </c>
      <c r="B7" s="3">
        <v>55</v>
      </c>
      <c r="C7" s="3">
        <v>54</v>
      </c>
      <c r="D7" s="3">
        <v>52</v>
      </c>
      <c r="E7" s="3">
        <v>51</v>
      </c>
      <c r="F7" s="3">
        <v>54</v>
      </c>
      <c r="G7" s="3">
        <v>53</v>
      </c>
      <c r="H7" s="3">
        <v>55</v>
      </c>
      <c r="I7" s="3">
        <v>60</v>
      </c>
      <c r="J7" s="3">
        <v>68</v>
      </c>
      <c r="K7" s="3">
        <v>71</v>
      </c>
      <c r="L7" s="3">
        <v>66</v>
      </c>
      <c r="M7" s="3">
        <v>68</v>
      </c>
      <c r="N7" s="3">
        <v>76</v>
      </c>
      <c r="S7" s="3">
        <v>275</v>
      </c>
      <c r="T7" s="3">
        <v>293</v>
      </c>
      <c r="U7" s="3">
        <v>220</v>
      </c>
      <c r="V7" s="3">
        <v>212</v>
      </c>
      <c r="W7" s="3">
        <v>222</v>
      </c>
      <c r="X7" s="3">
        <v>273</v>
      </c>
    </row>
    <row r="8" spans="1:34" x14ac:dyDescent="0.2">
      <c r="A8" t="s">
        <v>13</v>
      </c>
      <c r="B8" s="3">
        <v>38</v>
      </c>
      <c r="C8" s="3">
        <v>46</v>
      </c>
      <c r="D8" s="3">
        <v>37</v>
      </c>
      <c r="E8" s="3">
        <v>46</v>
      </c>
      <c r="F8" s="3">
        <v>40</v>
      </c>
      <c r="G8" s="3">
        <v>28</v>
      </c>
      <c r="H8" s="3">
        <v>45</v>
      </c>
      <c r="I8" s="3">
        <v>58</v>
      </c>
      <c r="J8" s="3">
        <v>48</v>
      </c>
      <c r="K8" s="3">
        <v>47</v>
      </c>
      <c r="L8" s="3">
        <v>49</v>
      </c>
      <c r="M8" s="3">
        <v>47</v>
      </c>
      <c r="N8" s="3">
        <v>56</v>
      </c>
      <c r="S8" s="3">
        <v>177</v>
      </c>
      <c r="T8" s="3">
        <v>187</v>
      </c>
      <c r="U8" s="3">
        <v>173</v>
      </c>
      <c r="V8" s="3">
        <v>167</v>
      </c>
      <c r="W8" s="3">
        <v>172</v>
      </c>
      <c r="X8" s="3">
        <v>191</v>
      </c>
    </row>
    <row r="9" spans="1:34" x14ac:dyDescent="0.2">
      <c r="A9" t="s">
        <v>14</v>
      </c>
      <c r="B9" s="3">
        <f>+SUM(B5:B8)</f>
        <v>178</v>
      </c>
      <c r="C9" s="3">
        <f>+SUM(C5:C8)</f>
        <v>242</v>
      </c>
      <c r="D9" s="3">
        <f>+SUM(D5:D8)</f>
        <v>260</v>
      </c>
      <c r="E9" s="3">
        <f>+SUM(E5:E8)</f>
        <v>243</v>
      </c>
      <c r="F9" s="3">
        <f>+SUM(F5:F8)</f>
        <v>257</v>
      </c>
      <c r="G9" s="3">
        <f>+SUM(G5:G8)</f>
        <v>329</v>
      </c>
      <c r="H9" s="3">
        <f>+SUM(H5:H8)</f>
        <v>366</v>
      </c>
      <c r="I9" s="3">
        <f>+SUM(I5:I8)</f>
        <v>342</v>
      </c>
      <c r="J9" s="3">
        <f>+SUM(J5:J8)</f>
        <v>364</v>
      </c>
      <c r="K9" s="3">
        <f>+SUM(K5:K8)</f>
        <v>429</v>
      </c>
      <c r="L9" s="3">
        <f>+SUM(L5:L8)</f>
        <v>430</v>
      </c>
      <c r="M9" s="3">
        <f>+SUM(M5:M8)</f>
        <v>330</v>
      </c>
      <c r="N9" s="3">
        <f>+SUM(N5:N8)</f>
        <v>389</v>
      </c>
      <c r="S9" s="3">
        <f>+SUM(S5:S8)</f>
        <v>1316</v>
      </c>
      <c r="T9" s="3">
        <f>+SUM(T5:T8)</f>
        <v>1246</v>
      </c>
      <c r="U9" s="3">
        <f>+SUM(U5:U8)</f>
        <v>764</v>
      </c>
      <c r="V9" s="3">
        <f>+SUM(V5:V8)</f>
        <v>922</v>
      </c>
      <c r="W9" s="3">
        <f>+SUM(W5:W8)</f>
        <v>1294</v>
      </c>
      <c r="X9" s="3">
        <f>+SUM(X5:X8)</f>
        <v>1553</v>
      </c>
    </row>
    <row r="10" spans="1:34" s="8" customFormat="1" x14ac:dyDescent="0.2">
      <c r="A10" s="7" t="s">
        <v>15</v>
      </c>
      <c r="B10" s="8">
        <f>+B4-B9</f>
        <v>-55</v>
      </c>
      <c r="C10" s="8">
        <f>+C4-C9</f>
        <v>-7</v>
      </c>
      <c r="D10" s="8">
        <f>+D4-D9</f>
        <v>43</v>
      </c>
      <c r="E10" s="8">
        <f>+E4-E9</f>
        <v>-2</v>
      </c>
      <c r="F10" s="8">
        <f>+F4-F9</f>
        <v>5</v>
      </c>
      <c r="G10" s="8">
        <f>+G4-G9</f>
        <v>88</v>
      </c>
      <c r="H10" s="8">
        <f>+H4-H9</f>
        <v>93</v>
      </c>
      <c r="I10" s="8">
        <f>+I4-I9</f>
        <v>12</v>
      </c>
      <c r="J10" s="8">
        <f>+J4-J9</f>
        <v>7</v>
      </c>
      <c r="K10" s="8">
        <f>+K4-K9</f>
        <v>65</v>
      </c>
      <c r="L10" s="8">
        <f>+L4-L9</f>
        <v>103</v>
      </c>
      <c r="M10" s="8">
        <f>+M4-M9</f>
        <v>60</v>
      </c>
      <c r="N10" s="8">
        <f>+N4-N9</f>
        <v>6</v>
      </c>
      <c r="S10" s="8">
        <f>+S4-S9</f>
        <v>299</v>
      </c>
      <c r="T10" s="8">
        <f>+T4-T9</f>
        <v>314</v>
      </c>
      <c r="U10" s="8">
        <f>+U4-U9</f>
        <v>-160</v>
      </c>
      <c r="V10" s="8">
        <f>+V4-V9</f>
        <v>-20</v>
      </c>
      <c r="W10" s="8">
        <f>+W4-W9</f>
        <v>198</v>
      </c>
      <c r="X10" s="8">
        <f>+X4-X9</f>
        <v>235</v>
      </c>
    </row>
    <row r="11" spans="1:34" x14ac:dyDescent="0.2">
      <c r="A11" t="s">
        <v>16</v>
      </c>
      <c r="B11" s="3">
        <v>-11</v>
      </c>
      <c r="C11" s="3">
        <v>-11</v>
      </c>
      <c r="D11" s="3">
        <v>-12</v>
      </c>
      <c r="E11" s="3">
        <v>-11</v>
      </c>
      <c r="F11" s="3">
        <v>-12</v>
      </c>
      <c r="G11" s="3">
        <v>-11</v>
      </c>
      <c r="H11" s="3">
        <v>-11</v>
      </c>
      <c r="I11" s="3">
        <v>-10</v>
      </c>
      <c r="J11" s="3">
        <v>-11</v>
      </c>
      <c r="K11" s="3">
        <v>-11</v>
      </c>
      <c r="L11" s="3">
        <v>-11</v>
      </c>
      <c r="M11" s="3">
        <v>-11</v>
      </c>
      <c r="N11" s="3">
        <v>-11</v>
      </c>
      <c r="S11" s="3">
        <v>-12</v>
      </c>
      <c r="T11" s="3">
        <v>-7</v>
      </c>
      <c r="U11" s="3">
        <v>-35</v>
      </c>
      <c r="V11" s="3">
        <v>-45</v>
      </c>
      <c r="W11" s="3">
        <v>-44</v>
      </c>
      <c r="X11" s="3">
        <v>-44</v>
      </c>
    </row>
    <row r="12" spans="1:34" x14ac:dyDescent="0.2">
      <c r="A12" t="s">
        <v>17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2</v>
      </c>
      <c r="H12" s="3">
        <v>4</v>
      </c>
      <c r="I12" s="3">
        <v>8</v>
      </c>
      <c r="J12" s="3">
        <v>11</v>
      </c>
      <c r="K12" s="3">
        <v>12</v>
      </c>
      <c r="L12" s="3">
        <v>13</v>
      </c>
      <c r="M12" s="3">
        <v>13</v>
      </c>
      <c r="N12" s="3">
        <v>13</v>
      </c>
      <c r="S12" s="3">
        <v>7</v>
      </c>
      <c r="T12" s="3">
        <v>17</v>
      </c>
      <c r="U12" s="3">
        <v>3</v>
      </c>
      <c r="V12" s="3">
        <v>1</v>
      </c>
      <c r="W12" s="3">
        <v>15</v>
      </c>
      <c r="X12" s="3">
        <v>47</v>
      </c>
    </row>
    <row r="13" spans="1:34" x14ac:dyDescent="0.2">
      <c r="A13" t="s">
        <v>18</v>
      </c>
      <c r="B13" s="3">
        <v>-1</v>
      </c>
      <c r="C13" s="3">
        <v>0</v>
      </c>
      <c r="D13" s="3">
        <v>-1</v>
      </c>
      <c r="E13" s="3">
        <v>-8</v>
      </c>
      <c r="F13" s="3">
        <v>-1</v>
      </c>
      <c r="G13" s="3">
        <v>-1</v>
      </c>
      <c r="H13" s="3">
        <v>-1</v>
      </c>
      <c r="I13" s="3">
        <v>-1</v>
      </c>
      <c r="J13" s="3">
        <v>-1</v>
      </c>
      <c r="K13" s="3">
        <v>-1</v>
      </c>
      <c r="L13" s="3">
        <v>-2</v>
      </c>
      <c r="M13" s="3">
        <v>-1</v>
      </c>
      <c r="N13" s="3">
        <v>-3</v>
      </c>
      <c r="S13" s="3">
        <v>-5</v>
      </c>
      <c r="T13" s="3">
        <v>-3</v>
      </c>
      <c r="U13" s="3">
        <v>-8</v>
      </c>
      <c r="V13" s="3">
        <v>-10</v>
      </c>
      <c r="W13" s="3">
        <v>-5</v>
      </c>
      <c r="X13" s="3">
        <v>-4</v>
      </c>
    </row>
    <row r="14" spans="1:34" x14ac:dyDescent="0.2">
      <c r="A14" t="s">
        <v>19</v>
      </c>
      <c r="B14" s="3">
        <f>+SUM(B11:B13)+B10</f>
        <v>-67</v>
      </c>
      <c r="C14" s="3">
        <f>+SUM(C11:C13)+C10</f>
        <v>-18</v>
      </c>
      <c r="D14" s="3">
        <f>+SUM(D11:D13)+D10</f>
        <v>30</v>
      </c>
      <c r="E14" s="3">
        <f>+SUM(E11:E13)+E10</f>
        <v>-21</v>
      </c>
      <c r="F14" s="3">
        <f>+SUM(F11:F13)+F10</f>
        <v>-8</v>
      </c>
      <c r="G14" s="3">
        <f>+SUM(G11:G13)+G10</f>
        <v>78</v>
      </c>
      <c r="H14" s="3">
        <f>+SUM(H11:H13)+H10</f>
        <v>85</v>
      </c>
      <c r="I14" s="3">
        <f>+SUM(I11:I13)+I10</f>
        <v>9</v>
      </c>
      <c r="J14" s="3">
        <f>+SUM(J11:J13)+J10</f>
        <v>6</v>
      </c>
      <c r="K14" s="3">
        <f>+SUM(K11:K13)+K10</f>
        <v>65</v>
      </c>
      <c r="L14" s="3">
        <f>+SUM(L11:L13)+L10</f>
        <v>103</v>
      </c>
      <c r="M14" s="3">
        <f>+SUM(M11:M13)+M10</f>
        <v>61</v>
      </c>
      <c r="N14" s="3">
        <f>+SUM(N11:N13)+N10</f>
        <v>5</v>
      </c>
      <c r="S14" s="3">
        <f>+SUM(S11:S13)+S10</f>
        <v>289</v>
      </c>
      <c r="T14" s="3">
        <f>+SUM(T11:T13)+T10</f>
        <v>321</v>
      </c>
      <c r="U14" s="3">
        <f>+SUM(U11:U13)+U10</f>
        <v>-200</v>
      </c>
      <c r="V14" s="3">
        <f>+SUM(V11:V13)+V10</f>
        <v>-74</v>
      </c>
      <c r="W14" s="3">
        <f>+SUM(W11:W13)+W10</f>
        <v>164</v>
      </c>
      <c r="X14" s="3">
        <f>+SUM(X11:X13)+X10</f>
        <v>234</v>
      </c>
    </row>
    <row r="15" spans="1:34" x14ac:dyDescent="0.2">
      <c r="A15" t="s">
        <v>20</v>
      </c>
      <c r="B15" s="3">
        <v>-16</v>
      </c>
      <c r="C15" s="3">
        <v>-6</v>
      </c>
      <c r="D15" s="3">
        <v>2</v>
      </c>
      <c r="E15" s="3">
        <v>-18</v>
      </c>
      <c r="F15" s="3">
        <v>1</v>
      </c>
      <c r="G15" s="3">
        <v>22</v>
      </c>
      <c r="H15" s="3">
        <v>37</v>
      </c>
      <c r="I15" s="3">
        <v>13</v>
      </c>
      <c r="J15" s="3">
        <v>58</v>
      </c>
      <c r="K15" s="3">
        <v>20</v>
      </c>
      <c r="L15" s="3">
        <v>37</v>
      </c>
      <c r="M15" s="3">
        <v>0</v>
      </c>
      <c r="N15" s="3">
        <v>43</v>
      </c>
      <c r="S15" s="3">
        <v>60</v>
      </c>
      <c r="T15" s="3">
        <v>68</v>
      </c>
      <c r="U15" s="3">
        <v>-80</v>
      </c>
      <c r="V15" s="3">
        <v>-37</v>
      </c>
      <c r="W15" s="3">
        <v>47</v>
      </c>
      <c r="X15" s="3">
        <v>115</v>
      </c>
    </row>
    <row r="16" spans="1:34" s="8" customFormat="1" x14ac:dyDescent="0.2">
      <c r="A16" s="7" t="s">
        <v>21</v>
      </c>
      <c r="B16" s="8">
        <f>+B14-B15</f>
        <v>-51</v>
      </c>
      <c r="C16" s="8">
        <f>+C14-C15</f>
        <v>-12</v>
      </c>
      <c r="D16" s="8">
        <f>+D14-D15</f>
        <v>28</v>
      </c>
      <c r="E16" s="8">
        <f>+E14-E15</f>
        <v>-3</v>
      </c>
      <c r="F16" s="8">
        <f>+F14-F15</f>
        <v>-9</v>
      </c>
      <c r="G16" s="8">
        <f>+G14-G15</f>
        <v>56</v>
      </c>
      <c r="H16" s="8">
        <f>+H14-H15</f>
        <v>48</v>
      </c>
      <c r="I16" s="8">
        <f>+I14-I15</f>
        <v>-4</v>
      </c>
      <c r="J16" s="8">
        <f>+J14-J15</f>
        <v>-52</v>
      </c>
      <c r="K16" s="8">
        <f>+K14-K15</f>
        <v>45</v>
      </c>
      <c r="L16" s="8">
        <f>+L14-L15</f>
        <v>66</v>
      </c>
      <c r="M16" s="8">
        <f>+M14-M15</f>
        <v>61</v>
      </c>
      <c r="N16" s="8">
        <f>+N14-N15</f>
        <v>-38</v>
      </c>
      <c r="S16" s="8">
        <f>+S14-S15</f>
        <v>229</v>
      </c>
      <c r="T16" s="8">
        <f>+T14-T15</f>
        <v>253</v>
      </c>
      <c r="U16" s="8">
        <f>+U14-U15</f>
        <v>-120</v>
      </c>
      <c r="V16" s="8">
        <f>+V14-V15</f>
        <v>-37</v>
      </c>
      <c r="W16" s="8">
        <f>+W14-W15</f>
        <v>117</v>
      </c>
      <c r="X16" s="8">
        <f>+X14-X15</f>
        <v>119</v>
      </c>
    </row>
    <row r="17" spans="1:24" x14ac:dyDescent="0.2">
      <c r="A17" t="s">
        <v>22</v>
      </c>
      <c r="B17" s="4">
        <f>+B16/B18</f>
        <v>-0.375</v>
      </c>
      <c r="C17" s="4">
        <f>+C16/C18</f>
        <v>-8.7591240875912413E-2</v>
      </c>
      <c r="D17" s="4">
        <f>+D16/D18</f>
        <v>0.19444444444444445</v>
      </c>
      <c r="E17" s="4">
        <f>+E16/E18</f>
        <v>-2.1739130434782608E-2</v>
      </c>
      <c r="F17" s="4">
        <f>+F16/F18</f>
        <v>-6.4748201438848921E-2</v>
      </c>
      <c r="G17" s="4">
        <f>+G16/G18</f>
        <v>0.38620689655172413</v>
      </c>
      <c r="H17" s="4">
        <f>+H16/H18</f>
        <v>0.32876712328767121</v>
      </c>
      <c r="I17" s="4">
        <f>+I16/I18</f>
        <v>-2.8368794326241134E-2</v>
      </c>
      <c r="J17" s="4">
        <f>+J16/J18</f>
        <v>-0.36879432624113473</v>
      </c>
      <c r="K17" s="4">
        <f>+K16/K18</f>
        <v>0.31034482758620691</v>
      </c>
      <c r="L17" s="4">
        <f>+L16/L18</f>
        <v>0.46153846153846156</v>
      </c>
      <c r="M17" s="4">
        <f>+M16/M18</f>
        <v>0.42657342657342656</v>
      </c>
      <c r="N17" s="4">
        <f>+N16/N18</f>
        <v>-0.27536231884057971</v>
      </c>
      <c r="S17" s="4">
        <f>+S16/S18</f>
        <v>1.6357142857142857</v>
      </c>
      <c r="T17" s="4">
        <f>+T16/T18</f>
        <v>1.7943262411347518</v>
      </c>
      <c r="U17" s="4">
        <f>+U16/U18</f>
        <v>-0.88888888888888884</v>
      </c>
      <c r="V17" s="4">
        <f>+V16/V18</f>
        <v>-0.27007299270072993</v>
      </c>
      <c r="W17" s="4">
        <f>+W16/W18</f>
        <v>0.80136986301369861</v>
      </c>
      <c r="X17" s="4">
        <f>+X16/X18</f>
        <v>0.82068965517241377</v>
      </c>
    </row>
    <row r="18" spans="1:24" x14ac:dyDescent="0.2">
      <c r="A18" t="s">
        <v>4</v>
      </c>
      <c r="B18" s="3">
        <v>136</v>
      </c>
      <c r="C18" s="3">
        <v>137</v>
      </c>
      <c r="D18" s="3">
        <v>144</v>
      </c>
      <c r="E18" s="3">
        <v>138</v>
      </c>
      <c r="F18" s="3">
        <v>139</v>
      </c>
      <c r="G18" s="3">
        <v>145</v>
      </c>
      <c r="H18" s="3">
        <v>146</v>
      </c>
      <c r="I18" s="3">
        <v>141</v>
      </c>
      <c r="J18" s="3">
        <v>141</v>
      </c>
      <c r="K18" s="3">
        <v>145</v>
      </c>
      <c r="L18" s="3">
        <v>143</v>
      </c>
      <c r="M18" s="3">
        <v>143</v>
      </c>
      <c r="N18" s="3">
        <v>138</v>
      </c>
      <c r="S18" s="3">
        <v>140</v>
      </c>
      <c r="T18" s="3">
        <v>141</v>
      </c>
      <c r="U18" s="3">
        <v>135</v>
      </c>
      <c r="V18" s="3">
        <v>137</v>
      </c>
      <c r="W18" s="3">
        <v>146</v>
      </c>
      <c r="X18" s="3">
        <v>145</v>
      </c>
    </row>
    <row r="20" spans="1:24" s="6" customFormat="1" x14ac:dyDescent="0.2">
      <c r="A20" s="6" t="s">
        <v>39</v>
      </c>
      <c r="B20" s="6">
        <f>+B10/B4</f>
        <v>-0.44715447154471544</v>
      </c>
      <c r="C20" s="6">
        <f>+C10/C4</f>
        <v>-2.9787234042553193E-2</v>
      </c>
      <c r="D20" s="6">
        <f>+D10/D4</f>
        <v>0.14191419141914191</v>
      </c>
      <c r="E20" s="6">
        <f>+E10/E4</f>
        <v>-8.2987551867219917E-3</v>
      </c>
      <c r="F20" s="6">
        <f>+F10/F4</f>
        <v>1.9083969465648856E-2</v>
      </c>
      <c r="G20" s="6">
        <f>+G10/G4</f>
        <v>0.21103117505995203</v>
      </c>
      <c r="H20" s="6">
        <f>+H10/H4</f>
        <v>0.20261437908496732</v>
      </c>
      <c r="I20" s="6">
        <f>+I10/I4</f>
        <v>3.3898305084745763E-2</v>
      </c>
      <c r="J20" s="6">
        <f>+J10/J4</f>
        <v>1.8867924528301886E-2</v>
      </c>
      <c r="K20" s="6">
        <f>+K10/K4</f>
        <v>0.13157894736842105</v>
      </c>
      <c r="L20" s="6">
        <f>+L10/L4</f>
        <v>0.19324577861163228</v>
      </c>
      <c r="M20" s="6">
        <f>+M10/M4</f>
        <v>0.15384615384615385</v>
      </c>
      <c r="N20" s="6">
        <f>+N10/N4</f>
        <v>1.5189873417721518E-2</v>
      </c>
      <c r="S20" s="6">
        <f>+S10/S4</f>
        <v>0.18513931888544891</v>
      </c>
      <c r="T20" s="6">
        <f>+T10/T4</f>
        <v>0.20128205128205129</v>
      </c>
      <c r="U20" s="6">
        <f>+U10/U4</f>
        <v>-0.26490066225165565</v>
      </c>
      <c r="V20" s="6">
        <f>+V10/V4</f>
        <v>-2.2172949002217297E-2</v>
      </c>
      <c r="W20" s="6">
        <f>+W10/W4</f>
        <v>0.13270777479892762</v>
      </c>
      <c r="X20" s="6">
        <f>+X10/X4</f>
        <v>0.13143176733780762</v>
      </c>
    </row>
    <row r="21" spans="1:24" s="6" customFormat="1" x14ac:dyDescent="0.2">
      <c r="A21" s="6" t="s">
        <v>40</v>
      </c>
      <c r="B21" s="6">
        <f>+B16/B4</f>
        <v>-0.41463414634146339</v>
      </c>
      <c r="C21" s="6">
        <f>+C16/C4</f>
        <v>-5.106382978723404E-2</v>
      </c>
      <c r="D21" s="6">
        <f>+D16/D4</f>
        <v>9.2409240924092403E-2</v>
      </c>
      <c r="E21" s="6">
        <f>+E16/E4</f>
        <v>-1.2448132780082987E-2</v>
      </c>
      <c r="F21" s="6">
        <f>+F16/F4</f>
        <v>-3.4351145038167941E-2</v>
      </c>
      <c r="G21" s="6">
        <f>+G16/G4</f>
        <v>0.1342925659472422</v>
      </c>
      <c r="H21" s="6">
        <f>+H16/H4</f>
        <v>0.10457516339869281</v>
      </c>
      <c r="I21" s="6">
        <f>+I16/I4</f>
        <v>-1.1299435028248588E-2</v>
      </c>
      <c r="J21" s="6">
        <f>+J16/J4</f>
        <v>-0.14016172506738545</v>
      </c>
      <c r="K21" s="6">
        <f>+K16/K4</f>
        <v>9.1093117408906882E-2</v>
      </c>
      <c r="L21" s="6">
        <f>+L16/L4</f>
        <v>0.12382739212007504</v>
      </c>
      <c r="M21" s="6">
        <f>+M16/M4</f>
        <v>0.15641025641025641</v>
      </c>
      <c r="N21" s="6">
        <f>+N16/N4</f>
        <v>-9.6202531645569619E-2</v>
      </c>
      <c r="S21" s="6">
        <f>+S16/S4</f>
        <v>0.14179566563467491</v>
      </c>
      <c r="T21" s="6">
        <f>+T16/T4</f>
        <v>0.16217948717948719</v>
      </c>
      <c r="U21" s="6">
        <f>+U16/U4</f>
        <v>-0.19867549668874171</v>
      </c>
      <c r="V21" s="6">
        <f>+V16/V4</f>
        <v>-4.1019955654101999E-2</v>
      </c>
      <c r="W21" s="6">
        <f>+W16/W4</f>
        <v>7.8418230563002678E-2</v>
      </c>
      <c r="X21" s="6">
        <f>+X16/X4</f>
        <v>6.6554809843400453E-2</v>
      </c>
    </row>
    <row r="22" spans="1:24" s="6" customFormat="1" x14ac:dyDescent="0.2">
      <c r="A22" s="6" t="s">
        <v>41</v>
      </c>
      <c r="B22" s="6">
        <f>+B15/B14</f>
        <v>0.23880597014925373</v>
      </c>
      <c r="C22" s="6">
        <f>+C15/C14</f>
        <v>0.33333333333333331</v>
      </c>
      <c r="D22" s="6">
        <f>+D15/D14</f>
        <v>6.6666666666666666E-2</v>
      </c>
      <c r="E22" s="6">
        <f>+E15/E14</f>
        <v>0.8571428571428571</v>
      </c>
      <c r="F22" s="6">
        <f>+F15/F14</f>
        <v>-0.125</v>
      </c>
      <c r="G22" s="6">
        <f>+G15/G14</f>
        <v>0.28205128205128205</v>
      </c>
      <c r="H22" s="6">
        <f>+H15/H14</f>
        <v>0.43529411764705883</v>
      </c>
      <c r="K22" s="6">
        <f>+K15/K14</f>
        <v>0.30769230769230771</v>
      </c>
      <c r="L22" s="6">
        <f>+L15/L14</f>
        <v>0.35922330097087379</v>
      </c>
      <c r="S22" s="6">
        <f>+S15/S14</f>
        <v>0.20761245674740483</v>
      </c>
      <c r="T22" s="6">
        <f>+T15/T14</f>
        <v>0.21183800623052959</v>
      </c>
      <c r="U22" s="6">
        <f>+U15/U14</f>
        <v>0.4</v>
      </c>
      <c r="V22" s="6">
        <f>+V15/V14</f>
        <v>0.5</v>
      </c>
      <c r="W22" s="6">
        <f>+W15/W14</f>
        <v>0.28658536585365851</v>
      </c>
      <c r="X22" s="6">
        <f>+X15/X14</f>
        <v>0.49145299145299143</v>
      </c>
    </row>
    <row r="23" spans="1:24" s="6" customFormat="1" x14ac:dyDescent="0.2"/>
    <row r="24" spans="1:24" s="9" customFormat="1" x14ac:dyDescent="0.2">
      <c r="A24" s="9" t="s">
        <v>42</v>
      </c>
      <c r="F24" s="9">
        <f t="shared" ref="F24:J24" si="1">+F4/B4-1</f>
        <v>1.1300813008130079</v>
      </c>
      <c r="G24" s="9">
        <f t="shared" si="1"/>
        <v>0.77446808510638299</v>
      </c>
      <c r="H24" s="9">
        <f t="shared" si="1"/>
        <v>0.51485148514851486</v>
      </c>
      <c r="I24" s="9">
        <f t="shared" si="1"/>
        <v>0.46887966804979264</v>
      </c>
      <c r="J24" s="9">
        <f t="shared" si="1"/>
        <v>0.41603053435114501</v>
      </c>
      <c r="K24" s="9">
        <f>+K4/G4-1</f>
        <v>0.184652278177458</v>
      </c>
      <c r="L24" s="9">
        <f>+L4/H4-1</f>
        <v>0.16122004357298469</v>
      </c>
      <c r="M24" s="9">
        <f>+M4/I4-1</f>
        <v>0.10169491525423724</v>
      </c>
      <c r="N24" s="9">
        <f>+N4/J4-1</f>
        <v>6.4690026954177915E-2</v>
      </c>
      <c r="T24" s="9">
        <f t="shared" ref="T24:W24" si="2">+T4/S4-1</f>
        <v>-3.4055727554179516E-2</v>
      </c>
      <c r="U24" s="9">
        <f t="shared" si="2"/>
        <v>-0.61282051282051286</v>
      </c>
      <c r="V24" s="9">
        <f t="shared" si="2"/>
        <v>0.49337748344370858</v>
      </c>
      <c r="W24" s="9">
        <f t="shared" si="2"/>
        <v>0.65410199556541015</v>
      </c>
      <c r="X24" s="9">
        <f>+X4/W4-1</f>
        <v>0.19839142091152806</v>
      </c>
    </row>
    <row r="26" spans="1:24" x14ac:dyDescent="0.2">
      <c r="A26" s="6" t="s">
        <v>43</v>
      </c>
      <c r="K26" s="3">
        <f>+K27-K42</f>
        <v>336</v>
      </c>
      <c r="L26" s="3">
        <f>+L27-L42</f>
        <v>317</v>
      </c>
      <c r="M26" s="3">
        <f>+M27-M42</f>
        <v>260</v>
      </c>
      <c r="N26" s="3">
        <f>+N27-N42</f>
        <v>363</v>
      </c>
    </row>
    <row r="27" spans="1:24" x14ac:dyDescent="0.2">
      <c r="A27" s="6" t="s">
        <v>6</v>
      </c>
      <c r="K27" s="3">
        <f>1141+33</f>
        <v>1174</v>
      </c>
      <c r="L27" s="3">
        <f>1124+32</f>
        <v>1156</v>
      </c>
      <c r="M27" s="3">
        <f>1067+32</f>
        <v>1099</v>
      </c>
      <c r="N27" s="3">
        <f>1171+32</f>
        <v>1203</v>
      </c>
    </row>
    <row r="28" spans="1:24" x14ac:dyDescent="0.2">
      <c r="A28" s="6" t="s">
        <v>46</v>
      </c>
      <c r="K28" s="3">
        <v>240</v>
      </c>
      <c r="L28" s="3">
        <v>234</v>
      </c>
      <c r="M28" s="3">
        <v>192</v>
      </c>
      <c r="N28" s="3">
        <v>248</v>
      </c>
    </row>
    <row r="29" spans="1:24" x14ac:dyDescent="0.2">
      <c r="A29" s="6" t="s">
        <v>20</v>
      </c>
      <c r="K29" s="3">
        <v>51</v>
      </c>
      <c r="L29" s="3">
        <v>0</v>
      </c>
      <c r="M29" s="3">
        <v>0</v>
      </c>
      <c r="N29" s="3">
        <v>44</v>
      </c>
    </row>
    <row r="30" spans="1:24" x14ac:dyDescent="0.2">
      <c r="A30" s="6" t="s">
        <v>47</v>
      </c>
      <c r="K30" s="3">
        <v>46</v>
      </c>
      <c r="L30" s="3">
        <v>43</v>
      </c>
      <c r="M30" s="3">
        <v>38</v>
      </c>
      <c r="N30" s="3">
        <v>48</v>
      </c>
    </row>
    <row r="31" spans="1:24" x14ac:dyDescent="0.2">
      <c r="A31" s="6" t="s">
        <v>48</v>
      </c>
      <c r="K31" s="3">
        <v>194</v>
      </c>
      <c r="L31" s="3">
        <v>193</v>
      </c>
      <c r="M31" s="3">
        <v>191</v>
      </c>
      <c r="N31" s="3">
        <v>189</v>
      </c>
    </row>
    <row r="32" spans="1:24" x14ac:dyDescent="0.2">
      <c r="A32" s="6" t="s">
        <v>49</v>
      </c>
      <c r="K32" s="3">
        <v>22</v>
      </c>
      <c r="L32" s="3">
        <v>18</v>
      </c>
      <c r="M32" s="3">
        <v>15</v>
      </c>
      <c r="N32" s="3">
        <v>21</v>
      </c>
    </row>
    <row r="33" spans="1:14" x14ac:dyDescent="0.2">
      <c r="A33" s="6" t="s">
        <v>50</v>
      </c>
      <c r="K33" s="3">
        <f>47+824</f>
        <v>871</v>
      </c>
      <c r="L33" s="3">
        <f>45+817</f>
        <v>862</v>
      </c>
      <c r="M33" s="3">
        <f>43+829</f>
        <v>872</v>
      </c>
      <c r="N33" s="3">
        <f>40+822</f>
        <v>862</v>
      </c>
    </row>
    <row r="34" spans="1:14" x14ac:dyDescent="0.2">
      <c r="A34" s="6" t="s">
        <v>51</v>
      </c>
      <c r="K34" s="3">
        <v>87</v>
      </c>
      <c r="L34" s="3">
        <v>86</v>
      </c>
      <c r="M34" s="3">
        <v>86</v>
      </c>
      <c r="N34" s="3">
        <v>78</v>
      </c>
    </row>
    <row r="35" spans="1:14" x14ac:dyDescent="0.2">
      <c r="A35" s="6" t="s">
        <v>18</v>
      </c>
      <c r="K35" s="3">
        <v>49</v>
      </c>
      <c r="L35" s="3">
        <v>44</v>
      </c>
      <c r="M35" s="3">
        <v>44</v>
      </c>
      <c r="N35" s="3">
        <v>45</v>
      </c>
    </row>
    <row r="36" spans="1:14" s="8" customFormat="1" x14ac:dyDescent="0.2">
      <c r="A36" s="9" t="s">
        <v>52</v>
      </c>
      <c r="K36" s="8">
        <f>SUM(K27:K35)</f>
        <v>2734</v>
      </c>
      <c r="L36" s="8">
        <f>SUM(L27:L35)</f>
        <v>2636</v>
      </c>
      <c r="M36" s="8">
        <f>SUM(M27:M35)</f>
        <v>2537</v>
      </c>
      <c r="N36" s="8">
        <f>SUM(N27:N35)</f>
        <v>2738</v>
      </c>
    </row>
    <row r="37" spans="1:14" x14ac:dyDescent="0.2">
      <c r="A37" s="6" t="s">
        <v>53</v>
      </c>
      <c r="K37" s="3">
        <v>47</v>
      </c>
      <c r="L37" s="3">
        <v>70</v>
      </c>
      <c r="M37" s="3">
        <v>28</v>
      </c>
      <c r="N37" s="3">
        <v>60</v>
      </c>
    </row>
    <row r="38" spans="1:14" x14ac:dyDescent="0.2">
      <c r="A38" s="6" t="s">
        <v>74</v>
      </c>
      <c r="K38" s="3">
        <v>87</v>
      </c>
      <c r="L38" s="3">
        <v>329</v>
      </c>
      <c r="M38" s="3">
        <v>49</v>
      </c>
      <c r="N38" s="3">
        <v>82</v>
      </c>
    </row>
    <row r="39" spans="1:14" x14ac:dyDescent="0.2">
      <c r="A39" s="6" t="s">
        <v>54</v>
      </c>
      <c r="K39" s="3">
        <f>435</f>
        <v>435</v>
      </c>
      <c r="L39" s="3">
        <v>64</v>
      </c>
      <c r="M39" s="3">
        <f>237</f>
        <v>237</v>
      </c>
      <c r="N39" s="3">
        <f>353</f>
        <v>353</v>
      </c>
    </row>
    <row r="40" spans="1:14" x14ac:dyDescent="0.2">
      <c r="A40" s="6" t="s">
        <v>20</v>
      </c>
      <c r="K40" s="3">
        <v>26</v>
      </c>
      <c r="L40" s="3">
        <v>26</v>
      </c>
      <c r="M40" s="3">
        <v>6</v>
      </c>
      <c r="N40" s="3">
        <v>161</v>
      </c>
    </row>
    <row r="41" spans="1:14" x14ac:dyDescent="0.2">
      <c r="A41" s="6" t="s">
        <v>55</v>
      </c>
      <c r="K41" s="3">
        <v>259</v>
      </c>
      <c r="L41" s="3">
        <v>230</v>
      </c>
      <c r="M41" s="3">
        <v>252</v>
      </c>
      <c r="N41" s="3">
        <v>236</v>
      </c>
    </row>
    <row r="42" spans="1:14" x14ac:dyDescent="0.2">
      <c r="A42" s="6" t="s">
        <v>7</v>
      </c>
      <c r="K42" s="3">
        <v>838</v>
      </c>
      <c r="L42" s="3">
        <v>839</v>
      </c>
      <c r="M42" s="3">
        <v>839</v>
      </c>
      <c r="N42" s="3">
        <v>840</v>
      </c>
    </row>
    <row r="43" spans="1:14" x14ac:dyDescent="0.2">
      <c r="A43" s="6" t="s">
        <v>49</v>
      </c>
      <c r="K43" s="3">
        <f>55+10</f>
        <v>65</v>
      </c>
      <c r="L43" s="3">
        <f>53+7</f>
        <v>60</v>
      </c>
      <c r="M43" s="3">
        <f>51+6</f>
        <v>57</v>
      </c>
      <c r="N43" s="3">
        <f>49+14</f>
        <v>63</v>
      </c>
    </row>
    <row r="44" spans="1:14" x14ac:dyDescent="0.2">
      <c r="A44" s="6" t="s">
        <v>51</v>
      </c>
      <c r="K44" s="3">
        <v>1</v>
      </c>
      <c r="L44" s="3">
        <v>1</v>
      </c>
      <c r="M44" s="3">
        <v>1</v>
      </c>
      <c r="N44" s="3">
        <v>1</v>
      </c>
    </row>
    <row r="45" spans="1:14" x14ac:dyDescent="0.2">
      <c r="A45" s="6" t="s">
        <v>18</v>
      </c>
      <c r="K45" s="3">
        <v>195</v>
      </c>
      <c r="L45" s="3">
        <v>194</v>
      </c>
      <c r="M45" s="3">
        <v>197</v>
      </c>
      <c r="N45" s="3">
        <v>117</v>
      </c>
    </row>
    <row r="46" spans="1:14" s="8" customFormat="1" x14ac:dyDescent="0.2">
      <c r="A46" s="9" t="s">
        <v>56</v>
      </c>
      <c r="K46" s="8">
        <f>SUM(K37:K45)</f>
        <v>1953</v>
      </c>
      <c r="L46" s="8">
        <f>SUM(L37:L45)</f>
        <v>1813</v>
      </c>
      <c r="M46" s="8">
        <f>SUM(M37:M45)</f>
        <v>1666</v>
      </c>
      <c r="N46" s="8">
        <f>SUM(N37:N45)</f>
        <v>1913</v>
      </c>
    </row>
    <row r="47" spans="1:14" x14ac:dyDescent="0.2">
      <c r="A47" t="s">
        <v>45</v>
      </c>
      <c r="K47" s="3">
        <f>+K36-K46</f>
        <v>781</v>
      </c>
      <c r="L47" s="3">
        <f>+L36-L46</f>
        <v>823</v>
      </c>
      <c r="M47" s="3">
        <f>+M36-M46</f>
        <v>871</v>
      </c>
      <c r="N47" s="3">
        <f>+N36-N46</f>
        <v>825</v>
      </c>
    </row>
    <row r="48" spans="1:14" x14ac:dyDescent="0.2">
      <c r="A48" t="s">
        <v>44</v>
      </c>
      <c r="K48" s="3">
        <f>+K47+K46</f>
        <v>2734</v>
      </c>
      <c r="L48" s="3">
        <f>+L47+L46</f>
        <v>2636</v>
      </c>
      <c r="M48" s="3">
        <f>+M47+M46</f>
        <v>2537</v>
      </c>
      <c r="N48" s="3">
        <f>+N47+N46</f>
        <v>2738</v>
      </c>
    </row>
    <row r="50" spans="1:14" s="6" customFormat="1" x14ac:dyDescent="0.2">
      <c r="A50" s="6" t="s">
        <v>73</v>
      </c>
      <c r="K50" s="6">
        <f>+$M$51/(+K28+K29+K30+K31+K32+K34+K35)</f>
        <v>0.17416545718432511</v>
      </c>
      <c r="L50" s="6">
        <f>+$M$51/(+L28+L29+L30+L31+L32+L34+L35)</f>
        <v>0.1941747572815534</v>
      </c>
      <c r="M50" s="6">
        <f>+$M$51/(+M28+M29+M30+M31+M32+M34+M35)</f>
        <v>0.21201413427561838</v>
      </c>
      <c r="N50" s="6">
        <f>+$M$51/(+N28+N29+N30+N31+N32+N34+N35)</f>
        <v>0.17830609212481427</v>
      </c>
    </row>
    <row r="51" spans="1:14" x14ac:dyDescent="0.2">
      <c r="A51" s="10" t="s">
        <v>70</v>
      </c>
      <c r="M51" s="3">
        <f>+SUM(J16:M16)</f>
        <v>120</v>
      </c>
    </row>
    <row r="53" spans="1:14" x14ac:dyDescent="0.2">
      <c r="A53" t="s">
        <v>58</v>
      </c>
      <c r="J53" s="3">
        <f>+J16</f>
        <v>-52</v>
      </c>
      <c r="K53" s="3">
        <f>+K16</f>
        <v>45</v>
      </c>
      <c r="L53" s="3">
        <f>+L16</f>
        <v>66</v>
      </c>
      <c r="M53" s="3">
        <f>+M16</f>
        <v>61</v>
      </c>
      <c r="N53" s="3">
        <f>+N16</f>
        <v>-38</v>
      </c>
    </row>
    <row r="54" spans="1:14" x14ac:dyDescent="0.2">
      <c r="A54" t="s">
        <v>59</v>
      </c>
      <c r="J54" s="3">
        <v>-73</v>
      </c>
      <c r="K54" s="3">
        <v>24</v>
      </c>
      <c r="L54" s="3">
        <v>27</v>
      </c>
      <c r="M54" s="3">
        <v>32</v>
      </c>
      <c r="N54" s="3">
        <v>-59</v>
      </c>
    </row>
    <row r="55" spans="1:14" x14ac:dyDescent="0.2">
      <c r="A55" t="s">
        <v>60</v>
      </c>
      <c r="J55" s="3">
        <v>21</v>
      </c>
      <c r="K55" s="3">
        <v>21</v>
      </c>
      <c r="L55" s="3">
        <v>21</v>
      </c>
      <c r="M55" s="3">
        <v>25</v>
      </c>
      <c r="N55" s="3">
        <v>22</v>
      </c>
    </row>
    <row r="56" spans="1:14" x14ac:dyDescent="0.2">
      <c r="A56" t="s">
        <v>61</v>
      </c>
      <c r="J56" s="3">
        <v>23</v>
      </c>
      <c r="K56" s="3">
        <v>25</v>
      </c>
      <c r="L56" s="3">
        <v>24</v>
      </c>
      <c r="M56" s="3">
        <v>24</v>
      </c>
      <c r="N56" s="3">
        <v>28</v>
      </c>
    </row>
    <row r="57" spans="1:14" x14ac:dyDescent="0.2">
      <c r="A57" t="s">
        <v>51</v>
      </c>
      <c r="J57" s="3">
        <v>8</v>
      </c>
      <c r="K57" s="3">
        <v>-17</v>
      </c>
      <c r="L57" s="3">
        <v>1</v>
      </c>
      <c r="M57" s="3">
        <v>-17</v>
      </c>
      <c r="N57" s="3">
        <v>8</v>
      </c>
    </row>
    <row r="58" spans="1:14" x14ac:dyDescent="0.2">
      <c r="A58" t="s">
        <v>18</v>
      </c>
      <c r="J58" s="3">
        <v>-1</v>
      </c>
      <c r="K58" s="3">
        <v>4</v>
      </c>
      <c r="L58" s="3">
        <v>6</v>
      </c>
      <c r="M58" s="3">
        <v>5</v>
      </c>
      <c r="N58" s="3">
        <v>6</v>
      </c>
    </row>
    <row r="59" spans="1:14" x14ac:dyDescent="0.2">
      <c r="A59" t="s">
        <v>46</v>
      </c>
      <c r="J59" s="3">
        <v>-9</v>
      </c>
      <c r="K59" s="3">
        <f>-40-J59</f>
        <v>-31</v>
      </c>
      <c r="L59" s="3">
        <f>-36-SUM(J59:K59)</f>
        <v>4</v>
      </c>
      <c r="M59" s="3">
        <f>6-SUM(J59:L59)</f>
        <v>42</v>
      </c>
      <c r="N59" s="3">
        <v>-69</v>
      </c>
    </row>
    <row r="60" spans="1:14" x14ac:dyDescent="0.2">
      <c r="A60" t="s">
        <v>53</v>
      </c>
      <c r="J60" s="3">
        <f>-26+107</f>
        <v>81</v>
      </c>
      <c r="K60" s="3">
        <f>33+230-J60</f>
        <v>182</v>
      </c>
      <c r="L60" s="3">
        <f>32+130-SUM(J60:K60)</f>
        <v>-101</v>
      </c>
      <c r="M60" s="3">
        <f>11+32-SUM(J60:L60)</f>
        <v>-119</v>
      </c>
      <c r="N60" s="3">
        <f>19+120</f>
        <v>139</v>
      </c>
    </row>
    <row r="61" spans="1:14" x14ac:dyDescent="0.2">
      <c r="A61" t="s">
        <v>20</v>
      </c>
      <c r="J61" s="3">
        <v>48</v>
      </c>
      <c r="K61" s="3">
        <f>-61-J61</f>
        <v>-109</v>
      </c>
      <c r="L61" s="3">
        <f>-5-SUM(J61:K61)</f>
        <v>56</v>
      </c>
      <c r="M61" s="3">
        <f>-1-SUM(J61:L61)</f>
        <v>4</v>
      </c>
      <c r="N61" s="3">
        <v>31</v>
      </c>
    </row>
    <row r="62" spans="1:14" x14ac:dyDescent="0.2">
      <c r="A62" t="s">
        <v>54</v>
      </c>
      <c r="J62" s="3">
        <v>37</v>
      </c>
      <c r="K62" s="3">
        <f>43-J62</f>
        <v>6</v>
      </c>
      <c r="L62" s="3">
        <f>20-SUM(J62:K62)</f>
        <v>-23</v>
      </c>
      <c r="M62" s="3">
        <f>4-SUM(J62:L62)</f>
        <v>-16</v>
      </c>
      <c r="N62" s="3">
        <v>33</v>
      </c>
    </row>
    <row r="63" spans="1:14" x14ac:dyDescent="0.2">
      <c r="A63" t="s">
        <v>62</v>
      </c>
      <c r="J63" s="3">
        <f>+SUM(J59:J62)</f>
        <v>157</v>
      </c>
      <c r="K63" s="3">
        <f>+SUM(K59:K62)</f>
        <v>48</v>
      </c>
      <c r="L63" s="3">
        <f>+SUM(L59:L62)</f>
        <v>-64</v>
      </c>
      <c r="M63" s="3">
        <f>+SUM(M59:M62)</f>
        <v>-89</v>
      </c>
      <c r="N63" s="3">
        <f>+SUM(N59:N62)</f>
        <v>134</v>
      </c>
    </row>
    <row r="64" spans="1:14" s="8" customFormat="1" x14ac:dyDescent="0.2">
      <c r="A64" s="7" t="s">
        <v>57</v>
      </c>
      <c r="J64" s="8">
        <f>+SUM(J54:J58)+J63</f>
        <v>135</v>
      </c>
      <c r="K64" s="8">
        <f>+SUM(K54:K58)+K63</f>
        <v>105</v>
      </c>
      <c r="L64" s="8">
        <f>+SUM(L54:L58)+L63</f>
        <v>15</v>
      </c>
      <c r="M64" s="8">
        <f>+SUM(M54:M58)+M63</f>
        <v>-20</v>
      </c>
      <c r="N64" s="8">
        <f>+SUM(N54:N58)+N63</f>
        <v>139</v>
      </c>
    </row>
    <row r="66" spans="1:14" x14ac:dyDescent="0.2">
      <c r="A66" t="s">
        <v>63</v>
      </c>
      <c r="J66" s="3">
        <v>-16</v>
      </c>
      <c r="K66" s="3">
        <v>-15</v>
      </c>
      <c r="L66" s="3">
        <v>-16</v>
      </c>
      <c r="M66" s="3">
        <v>-16</v>
      </c>
      <c r="N66" s="3">
        <v>-16</v>
      </c>
    </row>
    <row r="68" spans="1:14" x14ac:dyDescent="0.2">
      <c r="A68" t="s">
        <v>71</v>
      </c>
      <c r="J68" s="3">
        <v>0</v>
      </c>
      <c r="K68" s="3">
        <v>-75</v>
      </c>
      <c r="L68" s="3">
        <v>0</v>
      </c>
      <c r="M68" s="3">
        <v>-25</v>
      </c>
      <c r="N68" s="3">
        <v>0</v>
      </c>
    </row>
    <row r="69" spans="1:14" x14ac:dyDescent="0.2">
      <c r="A69" t="s">
        <v>72</v>
      </c>
      <c r="J69" s="3">
        <v>0</v>
      </c>
      <c r="K69" s="3">
        <v>-3</v>
      </c>
      <c r="L69" s="3">
        <v>0</v>
      </c>
      <c r="M69" s="3">
        <v>0</v>
      </c>
      <c r="N69" s="3">
        <v>0</v>
      </c>
    </row>
    <row r="70" spans="1:14" x14ac:dyDescent="0.2">
      <c r="A70" t="s">
        <v>64</v>
      </c>
      <c r="J70" s="3">
        <v>-9</v>
      </c>
      <c r="K70" s="3">
        <v>-3</v>
      </c>
      <c r="L70" s="3">
        <v>-2</v>
      </c>
      <c r="M70" s="3">
        <v>-3</v>
      </c>
      <c r="N70" s="3">
        <v>-10</v>
      </c>
    </row>
    <row r="71" spans="1:14" x14ac:dyDescent="0.2">
      <c r="A71" t="s">
        <v>65</v>
      </c>
      <c r="J71" s="3">
        <v>-2</v>
      </c>
      <c r="K71" s="3">
        <v>-1</v>
      </c>
      <c r="L71" s="3">
        <v>-2</v>
      </c>
      <c r="M71" s="3">
        <v>-2</v>
      </c>
      <c r="N71" s="3">
        <v>-2</v>
      </c>
    </row>
    <row r="72" spans="1:14" x14ac:dyDescent="0.2">
      <c r="A72" t="s">
        <v>66</v>
      </c>
      <c r="J72" s="3">
        <f>+SUM(J68:J71)</f>
        <v>-11</v>
      </c>
      <c r="K72" s="3">
        <f>+SUM(K68:K71)</f>
        <v>-82</v>
      </c>
      <c r="L72" s="3">
        <f>+SUM(L68:L71)</f>
        <v>-4</v>
      </c>
      <c r="M72" s="3">
        <f>+SUM(M68:M71)</f>
        <v>-30</v>
      </c>
      <c r="N72" s="3">
        <f>+SUM(N68:N71)</f>
        <v>-12</v>
      </c>
    </row>
    <row r="74" spans="1:14" x14ac:dyDescent="0.2">
      <c r="A74" t="s">
        <v>67</v>
      </c>
      <c r="J74" s="3">
        <v>3</v>
      </c>
      <c r="K74" s="3">
        <v>1</v>
      </c>
      <c r="L74" s="3">
        <v>-11</v>
      </c>
      <c r="M74" s="3">
        <v>8</v>
      </c>
      <c r="N74" s="3">
        <v>-7</v>
      </c>
    </row>
    <row r="75" spans="1:14" x14ac:dyDescent="0.2">
      <c r="A75" t="s">
        <v>68</v>
      </c>
      <c r="J75" s="3">
        <f>+J64+J66+J72+J74</f>
        <v>111</v>
      </c>
      <c r="K75" s="3">
        <f>+K64+K66+K72+K74</f>
        <v>9</v>
      </c>
      <c r="L75" s="3">
        <f>+L64+L66+L72+L74</f>
        <v>-16</v>
      </c>
      <c r="M75" s="3">
        <f>+M64+M66+M72+M74</f>
        <v>-58</v>
      </c>
      <c r="N75" s="3">
        <f>+N64+N66+N72+N74</f>
        <v>104</v>
      </c>
    </row>
    <row r="77" spans="1:14" x14ac:dyDescent="0.2">
      <c r="A77" t="s">
        <v>69</v>
      </c>
      <c r="J77" s="3">
        <f>+J64+J66</f>
        <v>119</v>
      </c>
      <c r="K77" s="3">
        <f>+K64+K66</f>
        <v>90</v>
      </c>
      <c r="L77" s="3">
        <f>+L64+L66</f>
        <v>-1</v>
      </c>
      <c r="M77" s="3">
        <f>+M64+M66</f>
        <v>-36</v>
      </c>
      <c r="N77" s="3">
        <f>+N64+N66</f>
        <v>123</v>
      </c>
    </row>
    <row r="78" spans="1:14" x14ac:dyDescent="0.2">
      <c r="A78" s="10" t="s">
        <v>70</v>
      </c>
      <c r="M78" s="3">
        <f>+SUM(J77:M77)</f>
        <v>172</v>
      </c>
    </row>
    <row r="79" spans="1:14" x14ac:dyDescent="0.2">
      <c r="A79" t="s">
        <v>75</v>
      </c>
      <c r="J79" s="3">
        <f>+J77-J56</f>
        <v>96</v>
      </c>
      <c r="K79" s="3">
        <f t="shared" ref="J79:M79" si="3">+K77-K56</f>
        <v>65</v>
      </c>
      <c r="L79" s="3">
        <f t="shared" si="3"/>
        <v>-25</v>
      </c>
      <c r="M79" s="3">
        <f t="shared" si="3"/>
        <v>-60</v>
      </c>
      <c r="N79" s="3">
        <f>+N77-N56</f>
        <v>95</v>
      </c>
    </row>
    <row r="80" spans="1:14" x14ac:dyDescent="0.2">
      <c r="A80" s="10" t="s">
        <v>70</v>
      </c>
      <c r="M80" s="3">
        <f>+SUM(J79:M79)</f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2024-05-12T06:21:20Z</dcterms:created>
  <dcterms:modified xsi:type="dcterms:W3CDTF">2024-05-12T18:53:19Z</dcterms:modified>
</cp:coreProperties>
</file>