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portwear\"/>
    </mc:Choice>
  </mc:AlternateContent>
  <xr:revisionPtr revIDLastSave="0" documentId="13_ncr:1_{6927E119-86F9-4D6E-BB33-91834A6DCAB6}" xr6:coauthVersionLast="47" xr6:coauthVersionMax="47" xr10:uidLastSave="{00000000-0000-0000-0000-000000000000}"/>
  <bookViews>
    <workbookView xWindow="-120" yWindow="-120" windowWidth="29040" windowHeight="15840" activeTab="1" xr2:uid="{61A5ACAC-F60D-447E-9623-B0A28E21848F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4" i="2"/>
  <c r="T16" i="1"/>
  <c r="V8" i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U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U6" i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T6" i="1"/>
  <c r="T11" i="1"/>
  <c r="T10" i="1"/>
  <c r="S13" i="1"/>
  <c r="R13" i="1"/>
  <c r="Q13" i="1"/>
  <c r="P13" i="1"/>
  <c r="P22" i="1" s="1"/>
  <c r="J43" i="1"/>
  <c r="J42" i="1"/>
  <c r="J38" i="1"/>
  <c r="J34" i="1"/>
  <c r="C13" i="1"/>
  <c r="D13" i="1"/>
  <c r="E13" i="1"/>
  <c r="F13" i="1"/>
  <c r="G13" i="1"/>
  <c r="H13" i="1"/>
  <c r="I13" i="1"/>
  <c r="J13" i="1"/>
  <c r="L9" i="2"/>
  <c r="J37" i="1" l="1"/>
  <c r="R19" i="1" l="1"/>
  <c r="Q19" i="1"/>
  <c r="P19" i="1"/>
  <c r="I19" i="1"/>
  <c r="H19" i="1"/>
  <c r="G19" i="1"/>
  <c r="F19" i="1"/>
  <c r="E19" i="1"/>
  <c r="D19" i="1"/>
  <c r="C19" i="1"/>
  <c r="J19" i="1"/>
  <c r="U16" i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K16" i="1"/>
  <c r="AI26" i="1"/>
  <c r="J7" i="1" l="1"/>
  <c r="J9" i="1" s="1"/>
  <c r="J12" i="1" s="1"/>
  <c r="R24" i="1"/>
  <c r="Q24" i="1"/>
  <c r="P7" i="1"/>
  <c r="P9" i="1" s="1"/>
  <c r="Q7" i="1"/>
  <c r="Q18" i="1" s="1"/>
  <c r="S11" i="1"/>
  <c r="S10" i="1"/>
  <c r="S8" i="1"/>
  <c r="S6" i="1"/>
  <c r="R7" i="1"/>
  <c r="R18" i="1" s="1"/>
  <c r="S5" i="1"/>
  <c r="S24" i="1" s="1"/>
  <c r="I24" i="1"/>
  <c r="H24" i="1"/>
  <c r="G24" i="1"/>
  <c r="J24" i="1"/>
  <c r="F7" i="1"/>
  <c r="F9" i="1" s="1"/>
  <c r="F12" i="1" s="1"/>
  <c r="D7" i="1"/>
  <c r="D9" i="1" s="1"/>
  <c r="D12" i="1" s="1"/>
  <c r="H7" i="1"/>
  <c r="H9" i="1" s="1"/>
  <c r="H12" i="1" s="1"/>
  <c r="E7" i="1"/>
  <c r="E9" i="1" s="1"/>
  <c r="E12" i="1" s="1"/>
  <c r="I7" i="1"/>
  <c r="I9" i="1" s="1"/>
  <c r="I12" i="1" s="1"/>
  <c r="J27" i="1" l="1"/>
  <c r="S27" i="1" s="1"/>
  <c r="AI23" i="1" s="1"/>
  <c r="J44" i="1"/>
  <c r="J45" i="1" s="1"/>
  <c r="J46" i="1" s="1"/>
  <c r="D22" i="1"/>
  <c r="S19" i="1"/>
  <c r="D18" i="1"/>
  <c r="E22" i="1"/>
  <c r="I14" i="1"/>
  <c r="I21" i="1" s="1"/>
  <c r="T5" i="1"/>
  <c r="K5" i="1" s="1"/>
  <c r="K24" i="1" s="1"/>
  <c r="F18" i="1"/>
  <c r="F20" i="1"/>
  <c r="F22" i="1"/>
  <c r="P18" i="1"/>
  <c r="P12" i="1"/>
  <c r="P20" i="1"/>
  <c r="E20" i="1"/>
  <c r="I22" i="1"/>
  <c r="H22" i="1"/>
  <c r="J22" i="1"/>
  <c r="S7" i="1"/>
  <c r="Q9" i="1"/>
  <c r="H20" i="1"/>
  <c r="I20" i="1"/>
  <c r="E18" i="1"/>
  <c r="J20" i="1"/>
  <c r="J18" i="1"/>
  <c r="H18" i="1"/>
  <c r="I18" i="1"/>
  <c r="D20" i="1"/>
  <c r="R9" i="1"/>
  <c r="F14" i="1"/>
  <c r="E14" i="1"/>
  <c r="D14" i="1"/>
  <c r="H14" i="1"/>
  <c r="J14" i="1"/>
  <c r="L5" i="2"/>
  <c r="G7" i="1"/>
  <c r="L8" i="2" l="1"/>
  <c r="L10" i="2" s="1"/>
  <c r="K10" i="1"/>
  <c r="I15" i="1"/>
  <c r="T24" i="1"/>
  <c r="U5" i="1"/>
  <c r="P14" i="1"/>
  <c r="S9" i="1"/>
  <c r="S18" i="1"/>
  <c r="Q20" i="1"/>
  <c r="Q12" i="1"/>
  <c r="E15" i="1"/>
  <c r="E21" i="1"/>
  <c r="G9" i="1"/>
  <c r="G20" i="1" s="1"/>
  <c r="G18" i="1"/>
  <c r="D15" i="1"/>
  <c r="D21" i="1"/>
  <c r="F15" i="1"/>
  <c r="F21" i="1"/>
  <c r="J15" i="1"/>
  <c r="J21" i="1"/>
  <c r="H15" i="1"/>
  <c r="H21" i="1"/>
  <c r="R20" i="1"/>
  <c r="R12" i="1"/>
  <c r="C7" i="1"/>
  <c r="V5" i="1" l="1"/>
  <c r="U19" i="1"/>
  <c r="U24" i="1"/>
  <c r="P15" i="1"/>
  <c r="P21" i="1"/>
  <c r="G12" i="1"/>
  <c r="G14" i="1" s="1"/>
  <c r="G21" i="1" s="1"/>
  <c r="S12" i="1"/>
  <c r="S14" i="1" s="1"/>
  <c r="S20" i="1"/>
  <c r="Q14" i="1"/>
  <c r="Q22" i="1"/>
  <c r="C9" i="1"/>
  <c r="C18" i="1"/>
  <c r="R14" i="1"/>
  <c r="R22" i="1"/>
  <c r="U4" i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G15" i="1" l="1"/>
  <c r="W5" i="1"/>
  <c r="V19" i="1"/>
  <c r="V24" i="1"/>
  <c r="U9" i="1"/>
  <c r="U20" i="1" s="1"/>
  <c r="S15" i="1"/>
  <c r="S21" i="1"/>
  <c r="Q21" i="1"/>
  <c r="Q15" i="1"/>
  <c r="C20" i="1"/>
  <c r="C12" i="1"/>
  <c r="C14" i="1" s="1"/>
  <c r="R21" i="1"/>
  <c r="R15" i="1"/>
  <c r="V9" i="1" l="1"/>
  <c r="V20" i="1" s="1"/>
  <c r="X5" i="1"/>
  <c r="W24" i="1"/>
  <c r="W19" i="1"/>
  <c r="C15" i="1"/>
  <c r="C21" i="1"/>
  <c r="W9" i="1" l="1"/>
  <c r="W20" i="1" s="1"/>
  <c r="Y5" i="1"/>
  <c r="X24" i="1"/>
  <c r="X19" i="1"/>
  <c r="X9" i="1" l="1"/>
  <c r="X20" i="1" s="1"/>
  <c r="Z5" i="1"/>
  <c r="Y24" i="1"/>
  <c r="Y19" i="1"/>
  <c r="T12" i="1"/>
  <c r="T13" i="1" s="1"/>
  <c r="AA5" i="1" l="1"/>
  <c r="Z24" i="1"/>
  <c r="Z19" i="1"/>
  <c r="Y9" i="1"/>
  <c r="Y20" i="1" s="1"/>
  <c r="K19" i="1"/>
  <c r="T14" i="1"/>
  <c r="Z9" i="1" l="1"/>
  <c r="Z20" i="1" s="1"/>
  <c r="AB5" i="1"/>
  <c r="AA19" i="1"/>
  <c r="AA24" i="1"/>
  <c r="T27" i="1"/>
  <c r="U10" i="1" s="1"/>
  <c r="T15" i="1"/>
  <c r="T21" i="1"/>
  <c r="AA9" i="1" l="1"/>
  <c r="AA20" i="1" s="1"/>
  <c r="AC5" i="1"/>
  <c r="AB19" i="1"/>
  <c r="AB24" i="1"/>
  <c r="U12" i="1"/>
  <c r="AB9" i="1" l="1"/>
  <c r="AB20" i="1" s="1"/>
  <c r="AD5" i="1"/>
  <c r="AC19" i="1"/>
  <c r="AC24" i="1"/>
  <c r="U13" i="1"/>
  <c r="U14" i="1" s="1"/>
  <c r="AC9" i="1" l="1"/>
  <c r="AC20" i="1" s="1"/>
  <c r="AE5" i="1"/>
  <c r="AD19" i="1"/>
  <c r="AD24" i="1"/>
  <c r="U21" i="1"/>
  <c r="U15" i="1"/>
  <c r="U27" i="1"/>
  <c r="V10" i="1" s="1"/>
  <c r="AD9" i="1" l="1"/>
  <c r="AD20" i="1" s="1"/>
  <c r="AF5" i="1"/>
  <c r="AE19" i="1"/>
  <c r="AE24" i="1"/>
  <c r="V12" i="1"/>
  <c r="AE9" i="1" l="1"/>
  <c r="AE20" i="1" s="1"/>
  <c r="AF19" i="1"/>
  <c r="AF24" i="1"/>
  <c r="V13" i="1"/>
  <c r="V14" i="1" s="1"/>
  <c r="AF9" i="1" l="1"/>
  <c r="AF20" i="1" s="1"/>
  <c r="V21" i="1"/>
  <c r="V15" i="1"/>
  <c r="V27" i="1"/>
  <c r="W10" i="1" s="1"/>
  <c r="W12" i="1" l="1"/>
  <c r="W13" i="1" l="1"/>
  <c r="W14" i="1" s="1"/>
  <c r="W15" i="1" l="1"/>
  <c r="W21" i="1"/>
  <c r="W27" i="1"/>
  <c r="X10" i="1" s="1"/>
  <c r="X12" i="1" l="1"/>
  <c r="X13" i="1" l="1"/>
  <c r="X14" i="1" s="1"/>
  <c r="X15" i="1" l="1"/>
  <c r="X21" i="1"/>
  <c r="X27" i="1"/>
  <c r="Y10" i="1" s="1"/>
  <c r="Y12" i="1" l="1"/>
  <c r="Y13" i="1" l="1"/>
  <c r="Y14" i="1" s="1"/>
  <c r="Y21" i="1" l="1"/>
  <c r="Y15" i="1"/>
  <c r="Y27" i="1"/>
  <c r="Z10" i="1" s="1"/>
  <c r="Z12" i="1" l="1"/>
  <c r="Z13" i="1" l="1"/>
  <c r="Z14" i="1" s="1"/>
  <c r="Z21" i="1" l="1"/>
  <c r="Z15" i="1"/>
  <c r="Z27" i="1"/>
  <c r="AA10" i="1" s="1"/>
  <c r="AA12" i="1" l="1"/>
  <c r="AA13" i="1" l="1"/>
  <c r="AA14" i="1" s="1"/>
  <c r="AA21" i="1" l="1"/>
  <c r="AA15" i="1"/>
  <c r="AA27" i="1"/>
  <c r="AB10" i="1" s="1"/>
  <c r="AB12" i="1" l="1"/>
  <c r="AB13" i="1" l="1"/>
  <c r="AB14" i="1" s="1"/>
  <c r="AB21" i="1" l="1"/>
  <c r="AB15" i="1"/>
  <c r="AB27" i="1"/>
  <c r="AC10" i="1" s="1"/>
  <c r="AC12" i="1" l="1"/>
  <c r="AC13" i="1" l="1"/>
  <c r="AC14" i="1" s="1"/>
  <c r="AC15" i="1" l="1"/>
  <c r="AC21" i="1"/>
  <c r="AC27" i="1"/>
  <c r="AD10" i="1" s="1"/>
  <c r="AD12" i="1" l="1"/>
  <c r="AD13" i="1" l="1"/>
  <c r="AD14" i="1" s="1"/>
  <c r="AD21" i="1" l="1"/>
  <c r="AD15" i="1"/>
  <c r="AD27" i="1"/>
  <c r="AE10" i="1" s="1"/>
  <c r="AE12" i="1" l="1"/>
  <c r="AE13" i="1" l="1"/>
  <c r="AE14" i="1" s="1"/>
  <c r="AE15" i="1" l="1"/>
  <c r="AE21" i="1"/>
  <c r="AE27" i="1"/>
  <c r="AF10" i="1" s="1"/>
  <c r="AF12" i="1" l="1"/>
  <c r="AF13" i="1" l="1"/>
  <c r="AF14" i="1" s="1"/>
  <c r="AF15" i="1" l="1"/>
  <c r="AF21" i="1"/>
  <c r="AG14" i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AI22" i="1" s="1"/>
  <c r="AF27" i="1"/>
  <c r="AI24" i="1" l="1"/>
  <c r="AI25" i="1" s="1"/>
  <c r="AI27" i="1"/>
  <c r="T8" i="1" l="1"/>
  <c r="K6" i="1" l="1"/>
  <c r="K7" i="1" s="1"/>
  <c r="K9" i="1" s="1"/>
  <c r="K18" i="1" l="1"/>
  <c r="K20" i="1"/>
  <c r="K12" i="1"/>
  <c r="K14" i="1" s="1"/>
  <c r="K15" i="1" l="1"/>
  <c r="K21" i="1"/>
</calcChain>
</file>

<file path=xl/sharedStrings.xml><?xml version="1.0" encoding="utf-8"?>
<sst xmlns="http://schemas.openxmlformats.org/spreadsheetml/2006/main" count="92" uniqueCount="71">
  <si>
    <t>Under Armour</t>
  </si>
  <si>
    <t>(UAA)</t>
  </si>
  <si>
    <t>(in millions)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</si>
  <si>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</si>
  <si>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</si>
  <si>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</si>
  <si>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</si>
  <si>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</si>
  <si>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</si>
  <si>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</si>
  <si>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</si>
  <si>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</si>
  <si>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</si>
  <si>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</si>
  <si>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</si>
  <si>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</si>
  <si>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</si>
  <si>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</si>
  <si>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Price</t>
  </si>
  <si>
    <t>Shares</t>
  </si>
  <si>
    <t>MC</t>
  </si>
  <si>
    <t>Cash</t>
  </si>
  <si>
    <t>Debt</t>
  </si>
  <si>
    <t>EV</t>
  </si>
  <si>
    <t>March 31,</t>
  </si>
  <si>
    <t>SG&amp;A</t>
  </si>
  <si>
    <t>Operation income</t>
  </si>
  <si>
    <t>Pretax</t>
  </si>
  <si>
    <t>Net income</t>
  </si>
  <si>
    <t>EPS</t>
  </si>
  <si>
    <t>OI</t>
  </si>
  <si>
    <t>Dec. 31,</t>
  </si>
  <si>
    <t>Taxes(benefit)</t>
  </si>
  <si>
    <t>Sep. 30,</t>
  </si>
  <si>
    <t>June 30,</t>
  </si>
  <si>
    <t>Annual</t>
  </si>
  <si>
    <t>Gross margin</t>
  </si>
  <si>
    <t>Operating margin</t>
  </si>
  <si>
    <t>Net margin</t>
  </si>
  <si>
    <t>Tax rate</t>
  </si>
  <si>
    <t>Revenue y/y</t>
  </si>
  <si>
    <t>N/A</t>
  </si>
  <si>
    <t>Annual
Outlook UA</t>
  </si>
  <si>
    <t>Net cash</t>
  </si>
  <si>
    <t>Maturity value</t>
  </si>
  <si>
    <t>Discount rate</t>
  </si>
  <si>
    <t>NPV</t>
  </si>
  <si>
    <t>Per share</t>
  </si>
  <si>
    <t>Current price</t>
  </si>
  <si>
    <t>SG/A margin</t>
  </si>
  <si>
    <t>Total value</t>
  </si>
  <si>
    <t>Interest income</t>
  </si>
  <si>
    <t>A/R</t>
  </si>
  <si>
    <t>Deffered income taxes</t>
  </si>
  <si>
    <t>Inventories</t>
  </si>
  <si>
    <t>Prepaid</t>
  </si>
  <si>
    <t>PP&amp;E</t>
  </si>
  <si>
    <t>Lease</t>
  </si>
  <si>
    <t>Goodwill + Intangibles</t>
  </si>
  <si>
    <t>OA</t>
  </si>
  <si>
    <t>Total assets</t>
  </si>
  <si>
    <t>A/P</t>
  </si>
  <si>
    <t>Accrued expenses</t>
  </si>
  <si>
    <t>Refunds</t>
  </si>
  <si>
    <t>OL</t>
  </si>
  <si>
    <t>Total liabilities</t>
  </si>
  <si>
    <t>S/E</t>
  </si>
  <si>
    <t>L+S/E</t>
  </si>
  <si>
    <t>(UA)</t>
  </si>
  <si>
    <t>Change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</si>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</sst>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\x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9" fontId="4" fillId="0" borderId="0" xfId="1" applyFont="1" applyAlignment="1">
      <alignment horizontal="right"/>
    </xf>
    <xf numFmtId="9" fontId="4" fillId="0" borderId="0" xfId="1" applyFont="1" applyAlignment="1">
      <alignment horizontal="left"/>
    </xf>
    <xf numFmtId="9" fontId="7" fillId="0" borderId="0" xfId="1" applyFont="1" applyAlignment="1">
      <alignment horizontal="right"/>
    </xf>
    <xf numFmtId="9" fontId="7" fillId="0" borderId="0" xfId="1" applyFont="1" applyAlignment="1">
      <alignment horizontal="left"/>
    </xf>
    <xf numFmtId="3" fontId="9" fillId="0" borderId="0" xfId="2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right"/>
    </xf>
    <xf numFmtId="3" fontId="8" fillId="0" borderId="1" xfId="0" applyNumberFormat="1" applyFont="1" applyBorder="1"/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3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4" fontId="4" fillId="0" borderId="0" xfId="1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lef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166" fontId="3" fillId="0" borderId="0" xfId="0" applyNumberFormat="1" applyFont="1"/>
    <xf numFmtId="3" fontId="1" fillId="0" borderId="0" xfId="0" applyNumberFormat="1" applyFont="1" applyAlignment="1">
      <alignment horizontal="left"/>
    </xf>
    <xf numFmtId="9" fontId="1" fillId="0" borderId="0" xfId="1" applyFont="1" applyAlignment="1">
      <alignment horizontal="lef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9525</xdr:rowOff>
    </xdr:from>
    <xdr:to>
      <xdr:col>10</xdr:col>
      <xdr:colOff>38100</xdr:colOff>
      <xdr:row>107</xdr:row>
      <xdr:rowOff>167233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7B098C1-2585-D7A8-BC30-9A818A47417D}"/>
            </a:ext>
          </a:extLst>
        </xdr:cNvPr>
        <xdr:cNvCxnSpPr/>
      </xdr:nvCxnSpPr>
      <xdr:spPr>
        <a:xfrm>
          <a:off x="7048500" y="9525"/>
          <a:ext cx="0" cy="18331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1</xdr:row>
      <xdr:rowOff>0</xdr:rowOff>
    </xdr:from>
    <xdr:to>
      <xdr:col>19</xdr:col>
      <xdr:colOff>28575</xdr:colOff>
      <xdr:row>107</xdr:row>
      <xdr:rowOff>157708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91809CE-CB10-494C-BFE4-9A01FA08EBF3}"/>
            </a:ext>
          </a:extLst>
        </xdr:cNvPr>
        <xdr:cNvCxnSpPr/>
      </xdr:nvCxnSpPr>
      <xdr:spPr>
        <a:xfrm>
          <a:off x="11306175" y="0"/>
          <a:ext cx="0" cy="18331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8FF9-C5ED-4FC4-86D0-85BABC934A45}">
  <dimension ref="A1:M10"/>
  <sheetViews>
    <sheetView workbookViewId="0">
      <selection activeCell="J16" sqref="J16"/>
    </sheetView>
  </sheetViews>
  <sheetFormatPr defaultRowHeight="12.75" x14ac:dyDescent="0.2"/>
  <cols>
    <col min="1" max="1" width="36.28515625" style="19" bestFit="1" customWidth="1"/>
    <col min="2" max="2" width="9.140625" style="19"/>
    <col min="3" max="3" width="14.42578125" style="19" bestFit="1" customWidth="1"/>
    <col min="4" max="16384" width="9.140625" style="19"/>
  </cols>
  <sheetData>
    <row r="1" spans="1:13" ht="34.5" x14ac:dyDescent="0.45">
      <c r="A1" s="18" t="s">
        <v>0</v>
      </c>
    </row>
    <row r="2" spans="1:13" x14ac:dyDescent="0.2">
      <c r="A2" s="21" t="s">
        <v>68</v>
      </c>
    </row>
    <row r="3" spans="1:13" x14ac:dyDescent="0.2">
      <c r="A3" s="21" t="s">
        <v>2</v>
      </c>
      <c r="K3" s="19" t="s">
        <v>18</v>
      </c>
      <c r="L3" s="25">
        <v>6.35</v>
      </c>
    </row>
    <row r="4" spans="1:13" x14ac:dyDescent="0.2">
      <c r="K4" s="19" t="s">
        <v>19</v>
      </c>
      <c r="L4" s="26">
        <f>+Model!J16</f>
        <v>448.435</v>
      </c>
      <c r="M4" s="20" t="s">
        <v>9</v>
      </c>
    </row>
    <row r="5" spans="1:13" x14ac:dyDescent="0.2">
      <c r="K5" s="19" t="s">
        <v>20</v>
      </c>
      <c r="L5" s="25">
        <f>+L3*L4</f>
        <v>2847.5622499999999</v>
      </c>
    </row>
    <row r="6" spans="1:13" x14ac:dyDescent="0.2">
      <c r="K6" s="19" t="s">
        <v>21</v>
      </c>
      <c r="L6" s="25">
        <v>1040.0899999999999</v>
      </c>
      <c r="M6" s="20" t="s">
        <v>9</v>
      </c>
    </row>
    <row r="7" spans="1:13" x14ac:dyDescent="0.2">
      <c r="K7" s="19" t="s">
        <v>22</v>
      </c>
      <c r="L7" s="25">
        <f>80.919+595.124</f>
        <v>676.04300000000001</v>
      </c>
      <c r="M7" s="20" t="s">
        <v>9</v>
      </c>
    </row>
    <row r="8" spans="1:13" x14ac:dyDescent="0.2">
      <c r="K8" s="19" t="s">
        <v>23</v>
      </c>
      <c r="L8" s="25">
        <f>+L5-L6+L7</f>
        <v>2483.5152499999999</v>
      </c>
    </row>
    <row r="9" spans="1:13" x14ac:dyDescent="0.2">
      <c r="L9" s="25">
        <f>31*4</f>
        <v>124</v>
      </c>
    </row>
    <row r="10" spans="1:13" x14ac:dyDescent="0.2">
      <c r="L10" s="27">
        <f>+L8/L9</f>
        <v>20.028348790322578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6842-C34E-41AF-AE02-E76D350C3FD1}">
  <dimension ref="B1:EC46"/>
  <sheetViews>
    <sheetView tabSelected="1" workbookViewId="0">
      <pane xSplit="2" ySplit="4" topLeftCell="C5" activePane="bottomRight" state="frozen"/>
      <selection pane="topRight" activeCell="B1" sqref="B1"/>
      <selection pane="bottomLeft" activeCell="A4" sqref="A4"/>
      <selection pane="bottomRight" activeCell="N18" sqref="N18"/>
    </sheetView>
  </sheetViews>
  <sheetFormatPr defaultRowHeight="12.75" x14ac:dyDescent="0.2"/>
  <cols>
    <col min="1" max="1" width="3.5703125" style="6" customWidth="1"/>
    <col min="2" max="2" width="36.28515625" style="10" bestFit="1" customWidth="1"/>
    <col min="3" max="3" width="9.7109375" style="6" bestFit="1" customWidth="1"/>
    <col min="4" max="9" width="9.140625" style="6"/>
    <col min="10" max="10" width="11.140625" style="6" bestFit="1" customWidth="1"/>
    <col min="11" max="11" width="11.28515625" style="6" customWidth="1"/>
    <col min="12" max="33" width="9.140625" style="6"/>
    <col min="34" max="34" width="13.42578125" style="6" bestFit="1" customWidth="1"/>
    <col min="35" max="35" width="10.7109375" style="6" bestFit="1" customWidth="1"/>
    <col min="36" max="36" width="9.5703125" style="6" customWidth="1"/>
    <col min="37" max="37" width="9.140625" style="6"/>
    <col min="38" max="38" width="9.42578125" style="6" customWidth="1"/>
    <col min="39" max="16384" width="9.140625" style="6"/>
  </cols>
  <sheetData>
    <row r="1" spans="2:133" x14ac:dyDescent="0.2">
      <c r="B1" s="5"/>
    </row>
    <row r="2" spans="2:133" s="8" customFormat="1" ht="34.5" x14ac:dyDescent="0.45">
      <c r="B2" s="7" t="s">
        <v>0</v>
      </c>
      <c r="C2" s="8" t="s">
        <v>35</v>
      </c>
      <c r="G2" s="8" t="s">
        <v>35</v>
      </c>
      <c r="K2" s="9" t="s">
        <v>42</v>
      </c>
    </row>
    <row r="3" spans="2:133" s="11" customFormat="1" x14ac:dyDescent="0.2">
      <c r="B3" s="10" t="s">
        <v>1</v>
      </c>
      <c r="C3" s="11" t="s">
        <v>24</v>
      </c>
      <c r="D3" s="11" t="s">
        <v>34</v>
      </c>
      <c r="E3" s="11" t="s">
        <v>33</v>
      </c>
      <c r="F3" s="11" t="s">
        <v>31</v>
      </c>
      <c r="G3" s="11" t="s">
        <v>24</v>
      </c>
      <c r="H3" s="11" t="s">
        <v>34</v>
      </c>
      <c r="I3" s="11" t="s">
        <v>33</v>
      </c>
      <c r="J3" s="11" t="s">
        <v>31</v>
      </c>
      <c r="K3" s="11" t="s">
        <v>24</v>
      </c>
      <c r="M3" s="11" t="s">
        <v>33</v>
      </c>
      <c r="N3" s="11" t="s">
        <v>31</v>
      </c>
    </row>
    <row r="4" spans="2:133" s="11" customFormat="1" x14ac:dyDescent="0.2">
      <c r="B4" s="10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P4" s="11">
        <v>2020</v>
      </c>
      <c r="Q4" s="11">
        <v>2021</v>
      </c>
      <c r="R4" s="11">
        <v>2022</v>
      </c>
      <c r="S4" s="11">
        <v>2023</v>
      </c>
      <c r="T4" s="11">
        <v>2024</v>
      </c>
      <c r="U4" s="11">
        <f>+T4+1</f>
        <v>2025</v>
      </c>
      <c r="V4" s="11">
        <f t="shared" ref="V4:AF4" si="0">+U4+1</f>
        <v>2026</v>
      </c>
      <c r="W4" s="11">
        <f t="shared" si="0"/>
        <v>2027</v>
      </c>
      <c r="X4" s="11">
        <f t="shared" si="0"/>
        <v>2028</v>
      </c>
      <c r="Y4" s="11">
        <f t="shared" si="0"/>
        <v>2029</v>
      </c>
      <c r="Z4" s="11">
        <f t="shared" si="0"/>
        <v>2030</v>
      </c>
      <c r="AA4" s="11">
        <f t="shared" si="0"/>
        <v>2031</v>
      </c>
      <c r="AB4" s="11">
        <f t="shared" si="0"/>
        <v>2032</v>
      </c>
      <c r="AC4" s="11">
        <f t="shared" si="0"/>
        <v>2033</v>
      </c>
      <c r="AD4" s="11">
        <f t="shared" si="0"/>
        <v>2034</v>
      </c>
      <c r="AE4" s="11">
        <f t="shared" si="0"/>
        <v>2035</v>
      </c>
      <c r="AF4" s="11">
        <f t="shared" si="0"/>
        <v>2036</v>
      </c>
    </row>
    <row r="5" spans="2:133" s="13" customFormat="1" x14ac:dyDescent="0.2">
      <c r="B5" s="12" t="s">
        <v>15</v>
      </c>
      <c r="C5" s="13">
        <v>1300.9449999999999</v>
      </c>
      <c r="D5" s="13">
        <v>1349.057</v>
      </c>
      <c r="E5" s="13">
        <v>1573.885</v>
      </c>
      <c r="F5" s="13">
        <v>1581.7809999999999</v>
      </c>
      <c r="G5" s="13">
        <v>1398.913</v>
      </c>
      <c r="H5" s="13">
        <v>1317.0119999999999</v>
      </c>
      <c r="I5" s="13">
        <v>1566.71</v>
      </c>
      <c r="J5" s="13">
        <v>1486.095</v>
      </c>
      <c r="K5" s="13">
        <f>+T5-SUM(H5:J5)</f>
        <v>1297.6735600000002</v>
      </c>
      <c r="P5" s="13">
        <v>4474.6670000000004</v>
      </c>
      <c r="Q5" s="13">
        <v>5683.4660000000003</v>
      </c>
      <c r="R5" s="13">
        <v>5727.2160000000003</v>
      </c>
      <c r="S5" s="13">
        <f>SUM(D5:G5)</f>
        <v>5903.6360000000004</v>
      </c>
      <c r="T5" s="13">
        <f>+S5*0.96</f>
        <v>5667.4905600000002</v>
      </c>
      <c r="U5" s="13">
        <f>+T5*1.01</f>
        <v>5724.1654656000001</v>
      </c>
      <c r="V5" s="13">
        <f t="shared" ref="V5:AF6" si="1">+U5*1.01</f>
        <v>5781.4071202559999</v>
      </c>
      <c r="W5" s="13">
        <f t="shared" si="1"/>
        <v>5839.2211914585596</v>
      </c>
      <c r="X5" s="13">
        <f t="shared" si="1"/>
        <v>5897.613403373145</v>
      </c>
      <c r="Y5" s="13">
        <f t="shared" si="1"/>
        <v>5956.5895374068768</v>
      </c>
      <c r="Z5" s="13">
        <f t="shared" si="1"/>
        <v>6016.1554327809454</v>
      </c>
      <c r="AA5" s="13">
        <f t="shared" si="1"/>
        <v>6076.3169871087548</v>
      </c>
      <c r="AB5" s="13">
        <f t="shared" si="1"/>
        <v>6137.0801569798423</v>
      </c>
      <c r="AC5" s="13">
        <f t="shared" si="1"/>
        <v>6198.4509585496407</v>
      </c>
      <c r="AD5" s="13">
        <f t="shared" si="1"/>
        <v>6260.4354681351369</v>
      </c>
      <c r="AE5" s="13">
        <f t="shared" si="1"/>
        <v>6323.0398228164886</v>
      </c>
      <c r="AF5" s="13">
        <f t="shared" si="1"/>
        <v>6386.2702210446532</v>
      </c>
    </row>
    <row r="6" spans="2:133" x14ac:dyDescent="0.2">
      <c r="B6" s="10" t="s">
        <v>16</v>
      </c>
      <c r="C6" s="6">
        <v>695.78099999999995</v>
      </c>
      <c r="D6" s="6">
        <v>718.86</v>
      </c>
      <c r="E6" s="6">
        <v>860.05100000000004</v>
      </c>
      <c r="F6" s="6">
        <v>883.37599999999998</v>
      </c>
      <c r="G6" s="6">
        <v>792.00900000000001</v>
      </c>
      <c r="H6" s="6">
        <v>709.27599999999995</v>
      </c>
      <c r="I6" s="6">
        <v>814.71500000000003</v>
      </c>
      <c r="J6" s="6">
        <v>814.91399999999999</v>
      </c>
      <c r="K6" s="6">
        <f>+T6-SUM(H6:J6)</f>
        <v>947.93396000000075</v>
      </c>
      <c r="P6" s="6">
        <v>2314.5720000000001</v>
      </c>
      <c r="Q6" s="6">
        <v>2821.9670000000001</v>
      </c>
      <c r="R6" s="6">
        <v>2889.194</v>
      </c>
      <c r="S6" s="6">
        <f>SUM(D6:G6)</f>
        <v>3254.2960000000003</v>
      </c>
      <c r="T6" s="6">
        <f>+S6*1.01</f>
        <v>3286.8389600000005</v>
      </c>
      <c r="U6" s="6">
        <f t="shared" ref="U6:AF6" si="2">+T6*1.01</f>
        <v>3319.7073496000007</v>
      </c>
      <c r="V6" s="6">
        <f t="shared" si="1"/>
        <v>3352.9044230960008</v>
      </c>
      <c r="W6" s="6">
        <f t="shared" si="1"/>
        <v>3386.4334673269609</v>
      </c>
      <c r="X6" s="6">
        <f t="shared" si="1"/>
        <v>3420.2978020002306</v>
      </c>
      <c r="Y6" s="6">
        <f t="shared" si="1"/>
        <v>3454.5007800202329</v>
      </c>
      <c r="Z6" s="6">
        <f t="shared" si="1"/>
        <v>3489.0457878204352</v>
      </c>
      <c r="AA6" s="6">
        <f t="shared" si="1"/>
        <v>3523.9362456986396</v>
      </c>
      <c r="AB6" s="6">
        <f t="shared" si="1"/>
        <v>3559.1756081556259</v>
      </c>
      <c r="AC6" s="6">
        <f t="shared" si="1"/>
        <v>3594.7673642371824</v>
      </c>
      <c r="AD6" s="6">
        <f t="shared" si="1"/>
        <v>3630.7150378795541</v>
      </c>
      <c r="AE6" s="6">
        <f t="shared" si="1"/>
        <v>3667.0221882583496</v>
      </c>
      <c r="AF6" s="6">
        <f t="shared" si="1"/>
        <v>3703.6924101409331</v>
      </c>
    </row>
    <row r="7" spans="2:133" x14ac:dyDescent="0.2">
      <c r="B7" s="10" t="s">
        <v>17</v>
      </c>
      <c r="C7" s="6">
        <f t="shared" ref="C7:K7" si="3">+C5-C6</f>
        <v>605.16399999999999</v>
      </c>
      <c r="D7" s="6">
        <f t="shared" si="3"/>
        <v>630.197</v>
      </c>
      <c r="E7" s="6">
        <f t="shared" si="3"/>
        <v>713.83399999999995</v>
      </c>
      <c r="F7" s="6">
        <f t="shared" si="3"/>
        <v>698.40499999999997</v>
      </c>
      <c r="G7" s="6">
        <f t="shared" si="3"/>
        <v>606.904</v>
      </c>
      <c r="H7" s="6">
        <f t="shared" si="3"/>
        <v>607.73599999999999</v>
      </c>
      <c r="I7" s="6">
        <f t="shared" si="3"/>
        <v>751.995</v>
      </c>
      <c r="J7" s="6">
        <f t="shared" si="3"/>
        <v>671.18100000000004</v>
      </c>
      <c r="K7" s="6">
        <f t="shared" si="3"/>
        <v>349.73959999999943</v>
      </c>
      <c r="P7" s="6">
        <f>+P5-P6</f>
        <v>2160.0950000000003</v>
      </c>
      <c r="Q7" s="6">
        <f>+Q5-Q6</f>
        <v>2861.4990000000003</v>
      </c>
      <c r="R7" s="6">
        <f>+R5-R6</f>
        <v>2838.0220000000004</v>
      </c>
      <c r="S7" s="6">
        <f>+S5-S6</f>
        <v>2649.34</v>
      </c>
      <c r="T7" s="6">
        <f>+T5-T6</f>
        <v>2380.6515999999997</v>
      </c>
      <c r="U7" s="6">
        <f t="shared" ref="U7:AF7" si="4">+U5-U6</f>
        <v>2404.4581159999993</v>
      </c>
      <c r="V7" s="6">
        <f t="shared" si="4"/>
        <v>2428.5026971599991</v>
      </c>
      <c r="W7" s="6">
        <f t="shared" si="4"/>
        <v>2452.7877241315987</v>
      </c>
      <c r="X7" s="6">
        <f t="shared" si="4"/>
        <v>2477.3156013729144</v>
      </c>
      <c r="Y7" s="6">
        <f t="shared" si="4"/>
        <v>2502.0887573866439</v>
      </c>
      <c r="Z7" s="6">
        <f t="shared" si="4"/>
        <v>2527.1096449605102</v>
      </c>
      <c r="AA7" s="6">
        <f t="shared" si="4"/>
        <v>2552.3807414101152</v>
      </c>
      <c r="AB7" s="6">
        <f t="shared" si="4"/>
        <v>2577.9045488242164</v>
      </c>
      <c r="AC7" s="6">
        <f t="shared" si="4"/>
        <v>2603.6835943124584</v>
      </c>
      <c r="AD7" s="6">
        <f t="shared" si="4"/>
        <v>2629.7204302555829</v>
      </c>
      <c r="AE7" s="6">
        <f t="shared" si="4"/>
        <v>2656.017634558139</v>
      </c>
      <c r="AF7" s="6">
        <f t="shared" si="4"/>
        <v>2682.5778109037201</v>
      </c>
    </row>
    <row r="8" spans="2:133" x14ac:dyDescent="0.2">
      <c r="B8" s="10" t="s">
        <v>25</v>
      </c>
      <c r="C8" s="6">
        <v>594.44600000000003</v>
      </c>
      <c r="D8" s="6">
        <v>595.71400000000006</v>
      </c>
      <c r="E8" s="6">
        <v>594.42399999999998</v>
      </c>
      <c r="F8" s="6">
        <v>603.74599999999998</v>
      </c>
      <c r="G8" s="6">
        <v>571.64499999999998</v>
      </c>
      <c r="H8" s="6">
        <v>586.80600000000004</v>
      </c>
      <c r="I8" s="6">
        <v>606.23599999999999</v>
      </c>
      <c r="J8" s="6">
        <v>601.66099999999994</v>
      </c>
      <c r="K8" s="6">
        <v>601.66099999999994</v>
      </c>
      <c r="P8" s="6">
        <v>2171.9340000000002</v>
      </c>
      <c r="Q8" s="6">
        <v>2334.6909999999998</v>
      </c>
      <c r="R8" s="6">
        <v>2414.4989999999998</v>
      </c>
      <c r="S8" s="6">
        <f>SUM(D8:G8)</f>
        <v>2365.529</v>
      </c>
      <c r="T8" s="6">
        <f>+T7-T9</f>
        <v>2093.6515999999997</v>
      </c>
      <c r="U8" s="6">
        <f>+T8*1.01</f>
        <v>2114.5881159999999</v>
      </c>
      <c r="V8" s="6">
        <f t="shared" ref="V8:AF8" si="5">+U8*1.01</f>
        <v>2135.7339971599999</v>
      </c>
      <c r="W8" s="6">
        <f t="shared" si="5"/>
        <v>2157.0913371316001</v>
      </c>
      <c r="X8" s="6">
        <f t="shared" si="5"/>
        <v>2178.6622505029163</v>
      </c>
      <c r="Y8" s="6">
        <f t="shared" si="5"/>
        <v>2200.4488730079456</v>
      </c>
      <c r="Z8" s="6">
        <f t="shared" si="5"/>
        <v>2222.4533617380253</v>
      </c>
      <c r="AA8" s="6">
        <f t="shared" si="5"/>
        <v>2244.6778953554053</v>
      </c>
      <c r="AB8" s="6">
        <f t="shared" si="5"/>
        <v>2267.1246743089596</v>
      </c>
      <c r="AC8" s="6">
        <f t="shared" si="5"/>
        <v>2289.7959210520494</v>
      </c>
      <c r="AD8" s="6">
        <f t="shared" si="5"/>
        <v>2312.69388026257</v>
      </c>
      <c r="AE8" s="6">
        <f t="shared" si="5"/>
        <v>2335.8208190651958</v>
      </c>
      <c r="AF8" s="6">
        <f t="shared" si="5"/>
        <v>2359.1790272558478</v>
      </c>
    </row>
    <row r="9" spans="2:133" s="13" customFormat="1" x14ac:dyDescent="0.2">
      <c r="B9" s="12" t="s">
        <v>26</v>
      </c>
      <c r="C9" s="13">
        <f t="shared" ref="C9:K9" si="6">+C7-C8</f>
        <v>10.717999999999961</v>
      </c>
      <c r="D9" s="13">
        <f t="shared" si="6"/>
        <v>34.482999999999947</v>
      </c>
      <c r="E9" s="13">
        <f t="shared" si="6"/>
        <v>119.40999999999997</v>
      </c>
      <c r="F9" s="13">
        <f t="shared" si="6"/>
        <v>94.658999999999992</v>
      </c>
      <c r="G9" s="13">
        <f t="shared" si="6"/>
        <v>35.259000000000015</v>
      </c>
      <c r="H9" s="13">
        <f t="shared" si="6"/>
        <v>20.92999999999995</v>
      </c>
      <c r="I9" s="13">
        <f t="shared" si="6"/>
        <v>145.75900000000001</v>
      </c>
      <c r="J9" s="13">
        <f t="shared" si="6"/>
        <v>69.520000000000095</v>
      </c>
      <c r="K9" s="13">
        <f t="shared" si="6"/>
        <v>-251.92140000000052</v>
      </c>
      <c r="P9" s="13">
        <f t="shared" ref="P9:U9" si="7">+P7-P8</f>
        <v>-11.838999999999942</v>
      </c>
      <c r="Q9" s="13">
        <f t="shared" si="7"/>
        <v>526.80800000000045</v>
      </c>
      <c r="R9" s="13">
        <f t="shared" si="7"/>
        <v>423.52300000000059</v>
      </c>
      <c r="S9" s="13">
        <f t="shared" si="7"/>
        <v>283.81100000000015</v>
      </c>
      <c r="T9" s="13">
        <v>287</v>
      </c>
      <c r="U9" s="13">
        <f t="shared" si="7"/>
        <v>289.86999999999944</v>
      </c>
      <c r="V9" s="13">
        <f t="shared" ref="V9:AF9" si="8">+V7-V8</f>
        <v>292.76869999999917</v>
      </c>
      <c r="W9" s="13">
        <f t="shared" si="8"/>
        <v>295.69638699999859</v>
      </c>
      <c r="X9" s="13">
        <f t="shared" si="8"/>
        <v>298.65335086999812</v>
      </c>
      <c r="Y9" s="13">
        <f t="shared" si="8"/>
        <v>301.6398843786983</v>
      </c>
      <c r="Z9" s="13">
        <f t="shared" si="8"/>
        <v>304.65628322248494</v>
      </c>
      <c r="AA9" s="13">
        <f t="shared" si="8"/>
        <v>307.70284605470988</v>
      </c>
      <c r="AB9" s="13">
        <f t="shared" si="8"/>
        <v>310.77987451525678</v>
      </c>
      <c r="AC9" s="13">
        <f t="shared" si="8"/>
        <v>313.88767326040897</v>
      </c>
      <c r="AD9" s="13">
        <f t="shared" si="8"/>
        <v>317.02654999301285</v>
      </c>
      <c r="AE9" s="13">
        <f t="shared" si="8"/>
        <v>320.19681549294319</v>
      </c>
      <c r="AF9" s="13">
        <f t="shared" si="8"/>
        <v>323.39878364787228</v>
      </c>
    </row>
    <row r="10" spans="2:133" x14ac:dyDescent="0.2">
      <c r="B10" s="10" t="s">
        <v>51</v>
      </c>
      <c r="C10" s="6">
        <v>6.1539999999999999</v>
      </c>
      <c r="D10" s="6">
        <v>-6.0049999999999999</v>
      </c>
      <c r="E10" s="6">
        <v>-3.5550000000000002</v>
      </c>
      <c r="F10" s="6">
        <v>-1.615</v>
      </c>
      <c r="G10" s="6">
        <v>-1.651</v>
      </c>
      <c r="H10" s="6">
        <v>-1.6259999999999999</v>
      </c>
      <c r="I10" s="6">
        <v>-0.373</v>
      </c>
      <c r="J10" s="6">
        <v>-0.21099999999999999</v>
      </c>
      <c r="K10" s="6">
        <f>+T10-SUM(H10:J10)</f>
        <v>5.8504699999999996</v>
      </c>
      <c r="P10" s="6">
        <v>-47.259</v>
      </c>
      <c r="Q10" s="6">
        <v>-44.3</v>
      </c>
      <c r="R10" s="6">
        <v>-36.317</v>
      </c>
      <c r="S10" s="6">
        <f>SUM(D10:G10)</f>
        <v>-12.826000000000001</v>
      </c>
      <c r="T10" s="6">
        <f>+S27*$AI$19</f>
        <v>3.6404699999999992</v>
      </c>
      <c r="U10" s="6">
        <f>+T27*$AI$19</f>
        <v>6.2726772659999988</v>
      </c>
      <c r="V10" s="6">
        <f>+U27*$AI$19</f>
        <v>8.7931901486747943</v>
      </c>
      <c r="W10" s="6">
        <f>+V27*$AI$19</f>
        <v>11.355972891834451</v>
      </c>
      <c r="X10" s="6">
        <f>+W27*$AI$19</f>
        <v>13.961581298990751</v>
      </c>
      <c r="Y10" s="6">
        <f>+X27*$AI$19</f>
        <v>16.610577769908865</v>
      </c>
      <c r="Z10" s="6">
        <f>+Y27*$AI$19</f>
        <v>19.303531374668001</v>
      </c>
      <c r="AA10" s="6">
        <f>+Z27*$AI$19</f>
        <v>22.041017928525793</v>
      </c>
      <c r="AB10" s="6">
        <f>+AA27*$AI$19</f>
        <v>24.82362006759503</v>
      </c>
      <c r="AC10" s="6">
        <f>+AB27*$AI$19</f>
        <v>27.651927325341276</v>
      </c>
      <c r="AD10" s="6">
        <f>+AC27*$AI$19</f>
        <v>30.526536209910127</v>
      </c>
      <c r="AE10" s="6">
        <f>+AD27*$AI$19</f>
        <v>33.448050282292925</v>
      </c>
      <c r="AF10" s="6">
        <f>+AE27*$AI$19</f>
        <v>36.417080235339768</v>
      </c>
    </row>
    <row r="11" spans="2:133" x14ac:dyDescent="0.2">
      <c r="B11" s="10" t="s">
        <v>30</v>
      </c>
      <c r="C11" s="6">
        <v>5.0999999999999997E-2</v>
      </c>
      <c r="D11" s="6">
        <v>-14.241</v>
      </c>
      <c r="E11" s="6">
        <v>-5.7709999999999999</v>
      </c>
      <c r="F11" s="6">
        <v>47.311999999999998</v>
      </c>
      <c r="G11" s="6">
        <v>-10.52</v>
      </c>
      <c r="H11" s="6">
        <v>-6.3849999999999998</v>
      </c>
      <c r="I11" s="6">
        <v>-6.4290000000000003</v>
      </c>
      <c r="J11" s="6">
        <v>49.636000000000003</v>
      </c>
      <c r="K11" s="6">
        <v>10</v>
      </c>
      <c r="P11" s="6">
        <v>168.15299999999999</v>
      </c>
      <c r="Q11" s="6">
        <v>-51.113</v>
      </c>
      <c r="R11" s="6">
        <v>-43.984000000000002</v>
      </c>
      <c r="S11" s="6">
        <f>SUM(D11:G11)</f>
        <v>16.779999999999998</v>
      </c>
      <c r="T11" s="6">
        <f>+SUM(H11:K11)</f>
        <v>46.822000000000003</v>
      </c>
      <c r="U11" s="6">
        <v>27</v>
      </c>
      <c r="V11" s="6">
        <v>27</v>
      </c>
      <c r="W11" s="6">
        <v>27</v>
      </c>
      <c r="X11" s="6">
        <v>27</v>
      </c>
      <c r="Y11" s="6">
        <v>27</v>
      </c>
      <c r="Z11" s="6">
        <v>27</v>
      </c>
      <c r="AA11" s="6">
        <v>27</v>
      </c>
      <c r="AB11" s="6">
        <v>27</v>
      </c>
      <c r="AC11" s="6">
        <v>27</v>
      </c>
      <c r="AD11" s="6">
        <v>27</v>
      </c>
      <c r="AE11" s="6">
        <v>27</v>
      </c>
      <c r="AF11" s="6">
        <v>27</v>
      </c>
    </row>
    <row r="12" spans="2:133" x14ac:dyDescent="0.2">
      <c r="B12" s="10" t="s">
        <v>27</v>
      </c>
      <c r="C12" s="6">
        <f>+C9-C10-C11</f>
        <v>4.5129999999999608</v>
      </c>
      <c r="D12" s="6">
        <f t="shared" ref="D12:K12" si="9">+D9+D10+D11</f>
        <v>14.236999999999949</v>
      </c>
      <c r="E12" s="6">
        <f t="shared" si="9"/>
        <v>110.08399999999996</v>
      </c>
      <c r="F12" s="6">
        <f t="shared" si="9"/>
        <v>140.35599999999999</v>
      </c>
      <c r="G12" s="6">
        <f t="shared" si="9"/>
        <v>23.088000000000012</v>
      </c>
      <c r="H12" s="6">
        <f t="shared" si="9"/>
        <v>12.918999999999949</v>
      </c>
      <c r="I12" s="6">
        <f t="shared" si="9"/>
        <v>138.95700000000002</v>
      </c>
      <c r="J12" s="6">
        <f t="shared" si="9"/>
        <v>118.94500000000011</v>
      </c>
      <c r="K12" s="6">
        <f t="shared" si="9"/>
        <v>-236.07093000000052</v>
      </c>
      <c r="P12" s="6">
        <f t="shared" ref="P12:U12" si="10">+P9+P10+P11</f>
        <v>109.05500000000005</v>
      </c>
      <c r="Q12" s="6">
        <f t="shared" si="10"/>
        <v>431.39500000000044</v>
      </c>
      <c r="R12" s="6">
        <f t="shared" si="10"/>
        <v>343.22200000000061</v>
      </c>
      <c r="S12" s="6">
        <f t="shared" si="10"/>
        <v>287.7650000000001</v>
      </c>
      <c r="T12" s="6">
        <f t="shared" si="10"/>
        <v>337.46247</v>
      </c>
      <c r="U12" s="6">
        <f t="shared" si="10"/>
        <v>323.14267726599945</v>
      </c>
      <c r="V12" s="6">
        <f t="shared" ref="V12:AF12" si="11">+V9+V10+V11</f>
        <v>328.56189014867397</v>
      </c>
      <c r="W12" s="6">
        <f t="shared" si="11"/>
        <v>334.05235989183302</v>
      </c>
      <c r="X12" s="6">
        <f t="shared" si="11"/>
        <v>339.61493216898884</v>
      </c>
      <c r="Y12" s="6">
        <f t="shared" si="11"/>
        <v>345.25046214860714</v>
      </c>
      <c r="Z12" s="6">
        <f t="shared" si="11"/>
        <v>350.95981459715296</v>
      </c>
      <c r="AA12" s="6">
        <f t="shared" si="11"/>
        <v>356.74386398323566</v>
      </c>
      <c r="AB12" s="6">
        <f t="shared" si="11"/>
        <v>362.60349458285179</v>
      </c>
      <c r="AC12" s="6">
        <f t="shared" si="11"/>
        <v>368.53960058575024</v>
      </c>
      <c r="AD12" s="6">
        <f t="shared" si="11"/>
        <v>374.553086202923</v>
      </c>
      <c r="AE12" s="6">
        <f t="shared" si="11"/>
        <v>380.6448657752361</v>
      </c>
      <c r="AF12" s="6">
        <f t="shared" si="11"/>
        <v>386.81586388321205</v>
      </c>
    </row>
    <row r="13" spans="2:133" x14ac:dyDescent="0.2">
      <c r="B13" s="10" t="s">
        <v>32</v>
      </c>
      <c r="C13" s="6">
        <f>8.181+-0.732</f>
        <v>7.448999999999999</v>
      </c>
      <c r="D13" s="6">
        <f>5.657+0.898</f>
        <v>6.5549999999999997</v>
      </c>
      <c r="E13" s="6">
        <f>22.251+0.908</f>
        <v>23.159000000000002</v>
      </c>
      <c r="F13" s="6">
        <f>18.811+-0.072</f>
        <v>18.739000000000001</v>
      </c>
      <c r="G13" s="6">
        <f>-147.765+0.308</f>
        <v>-147.45699999999999</v>
      </c>
      <c r="H13" s="6">
        <f>3.971+-0.399</f>
        <v>3.5720000000000001</v>
      </c>
      <c r="I13" s="6">
        <f>29.494+-0.151</f>
        <v>29.343</v>
      </c>
      <c r="J13" s="6">
        <f>4.999+0.197</f>
        <v>5.1959999999999997</v>
      </c>
      <c r="K13" s="6">
        <v>13</v>
      </c>
      <c r="P13" s="6">
        <f>49.387+7.246</f>
        <v>56.633000000000003</v>
      </c>
      <c r="Q13" s="6">
        <f>32.072+-1.255</f>
        <v>30.817000000000004</v>
      </c>
      <c r="R13" s="6">
        <f>30.372+0.073</f>
        <v>30.445</v>
      </c>
      <c r="S13" s="6">
        <f>-101.046+2.042</f>
        <v>-99.004000000000005</v>
      </c>
      <c r="T13" s="6">
        <f>+T22*T12</f>
        <v>74.241743400000004</v>
      </c>
      <c r="U13" s="6">
        <f>+U12*U22</f>
        <v>71.091388998519875</v>
      </c>
      <c r="V13" s="6">
        <f t="shared" ref="V13:AF13" si="12">+V12*V22</f>
        <v>72.283615832708279</v>
      </c>
      <c r="W13" s="6">
        <f t="shared" si="12"/>
        <v>73.491519176203269</v>
      </c>
      <c r="X13" s="6">
        <f t="shared" si="12"/>
        <v>74.715285077177541</v>
      </c>
      <c r="Y13" s="6">
        <f t="shared" si="12"/>
        <v>75.955101672693573</v>
      </c>
      <c r="Z13" s="6">
        <f t="shared" si="12"/>
        <v>77.211159211373655</v>
      </c>
      <c r="AA13" s="6">
        <f t="shared" si="12"/>
        <v>78.483650076311847</v>
      </c>
      <c r="AB13" s="6">
        <f t="shared" si="12"/>
        <v>79.772768808227397</v>
      </c>
      <c r="AC13" s="6">
        <f t="shared" si="12"/>
        <v>81.07871212886505</v>
      </c>
      <c r="AD13" s="6">
        <f t="shared" si="12"/>
        <v>82.401678964643054</v>
      </c>
      <c r="AE13" s="6">
        <f t="shared" si="12"/>
        <v>83.741870470551945</v>
      </c>
      <c r="AF13" s="6">
        <f t="shared" si="12"/>
        <v>85.099490054306656</v>
      </c>
    </row>
    <row r="14" spans="2:133" s="13" customFormat="1" x14ac:dyDescent="0.2">
      <c r="B14" s="12" t="s">
        <v>28</v>
      </c>
      <c r="C14" s="13">
        <f t="shared" ref="C14:K14" si="13">+C12-C13</f>
        <v>-2.9360000000000381</v>
      </c>
      <c r="D14" s="13">
        <f t="shared" si="13"/>
        <v>7.6819999999999489</v>
      </c>
      <c r="E14" s="13">
        <f t="shared" si="13"/>
        <v>86.924999999999955</v>
      </c>
      <c r="F14" s="13">
        <f t="shared" si="13"/>
        <v>121.61699999999999</v>
      </c>
      <c r="G14" s="13">
        <f t="shared" si="13"/>
        <v>170.54500000000002</v>
      </c>
      <c r="H14" s="13">
        <f t="shared" si="13"/>
        <v>9.346999999999948</v>
      </c>
      <c r="I14" s="13">
        <f t="shared" si="13"/>
        <v>109.61400000000002</v>
      </c>
      <c r="J14" s="13">
        <f t="shared" si="13"/>
        <v>113.74900000000011</v>
      </c>
      <c r="K14" s="13">
        <f t="shared" si="13"/>
        <v>-249.07093000000052</v>
      </c>
      <c r="P14" s="13">
        <f t="shared" ref="P14:U14" si="14">+P12-P13</f>
        <v>52.422000000000047</v>
      </c>
      <c r="Q14" s="13">
        <f t="shared" si="14"/>
        <v>400.57800000000043</v>
      </c>
      <c r="R14" s="13">
        <f t="shared" si="14"/>
        <v>312.77700000000061</v>
      </c>
      <c r="S14" s="13">
        <f t="shared" si="14"/>
        <v>386.76900000000012</v>
      </c>
      <c r="T14" s="13">
        <f t="shared" si="14"/>
        <v>263.22072659999998</v>
      </c>
      <c r="U14" s="13">
        <f t="shared" si="14"/>
        <v>252.05128826747958</v>
      </c>
      <c r="V14" s="13">
        <f t="shared" ref="V14:AF14" si="15">+V12-V13</f>
        <v>256.27827431596569</v>
      </c>
      <c r="W14" s="13">
        <f t="shared" si="15"/>
        <v>260.56084071562975</v>
      </c>
      <c r="X14" s="13">
        <f t="shared" si="15"/>
        <v>264.89964709181129</v>
      </c>
      <c r="Y14" s="13">
        <f t="shared" si="15"/>
        <v>269.29536047591358</v>
      </c>
      <c r="Z14" s="13">
        <f t="shared" si="15"/>
        <v>273.74865538577933</v>
      </c>
      <c r="AA14" s="13">
        <f t="shared" si="15"/>
        <v>278.26021390692381</v>
      </c>
      <c r="AB14" s="13">
        <f t="shared" si="15"/>
        <v>282.8307257746244</v>
      </c>
      <c r="AC14" s="13">
        <f t="shared" si="15"/>
        <v>287.46088845688519</v>
      </c>
      <c r="AD14" s="13">
        <f t="shared" si="15"/>
        <v>292.15140723827994</v>
      </c>
      <c r="AE14" s="13">
        <f t="shared" si="15"/>
        <v>296.90299530468417</v>
      </c>
      <c r="AF14" s="13">
        <f t="shared" si="15"/>
        <v>301.71637382890538</v>
      </c>
      <c r="AG14" s="13">
        <f>+AF14*(1+$AI$20)</f>
        <v>298.6992100906163</v>
      </c>
      <c r="AH14" s="13">
        <f>+AG14*(1+$AI$20)</f>
        <v>295.71221798971015</v>
      </c>
      <c r="AI14" s="13">
        <f>+AH14*(1+$AI$20)</f>
        <v>292.75509580981304</v>
      </c>
      <c r="AJ14" s="13">
        <f>+AI14*(1+$AI$20)</f>
        <v>289.82754485171489</v>
      </c>
      <c r="AK14" s="13">
        <f>+AJ14*(1+$AI$20)</f>
        <v>286.92926940319774</v>
      </c>
      <c r="AL14" s="13">
        <f>+AK14*(1+$AI$20)</f>
        <v>284.05997670916577</v>
      </c>
      <c r="AM14" s="13">
        <f>+AL14*(1+$AI$20)</f>
        <v>281.21937694207412</v>
      </c>
      <c r="AN14" s="13">
        <f>+AM14*(1+$AI$20)</f>
        <v>278.40718317265339</v>
      </c>
      <c r="AO14" s="13">
        <f>+AN14*(1+$AI$20)</f>
        <v>275.62311134092687</v>
      </c>
      <c r="AP14" s="13">
        <f>+AO14*(1+$AI$20)</f>
        <v>272.86688022751758</v>
      </c>
      <c r="AQ14" s="13">
        <f>+AP14*(1+$AI$20)</f>
        <v>270.13821142524239</v>
      </c>
      <c r="AR14" s="13">
        <f>+AQ14*(1+$AI$20)</f>
        <v>267.43682931098994</v>
      </c>
      <c r="AS14" s="13">
        <f>+AR14*(1+$AI$20)</f>
        <v>264.76246101788001</v>
      </c>
      <c r="AT14" s="13">
        <f>+AS14*(1+$AI$20)</f>
        <v>262.1148364077012</v>
      </c>
      <c r="AU14" s="13">
        <f>+AT14*(1+$AI$20)</f>
        <v>259.49368804362422</v>
      </c>
      <c r="AV14" s="13">
        <f>+AU14*(1+$AI$20)</f>
        <v>256.89875116318797</v>
      </c>
      <c r="AW14" s="13">
        <f>+AV14*(1+$AI$20)</f>
        <v>254.32976365155608</v>
      </c>
      <c r="AX14" s="13">
        <f>+AW14*(1+$AI$20)</f>
        <v>251.7864660150405</v>
      </c>
      <c r="AY14" s="13">
        <f>+AX14*(1+$AI$20)</f>
        <v>249.26860135489011</v>
      </c>
      <c r="AZ14" s="13">
        <f>+AY14*(1+$AI$20)</f>
        <v>246.7759153413412</v>
      </c>
      <c r="BA14" s="13">
        <f>+AZ14*(1+$AI$20)</f>
        <v>244.30815618792778</v>
      </c>
      <c r="BB14" s="13">
        <f>+BA14*(1+$AI$20)</f>
        <v>241.86507462604851</v>
      </c>
      <c r="BC14" s="13">
        <f>+BB14*(1+$AI$20)</f>
        <v>239.44642387978803</v>
      </c>
      <c r="BD14" s="13">
        <f>+BC14*(1+$AI$20)</f>
        <v>237.05195964099013</v>
      </c>
      <c r="BE14" s="13">
        <f>+BD14*(1+$AI$20)</f>
        <v>234.68144004458023</v>
      </c>
      <c r="BF14" s="13">
        <f>+BE14*(1+$AI$20)</f>
        <v>232.33462564413443</v>
      </c>
      <c r="BG14" s="13">
        <f>+BF14*(1+$AI$20)</f>
        <v>230.01127938769309</v>
      </c>
      <c r="BH14" s="13">
        <f>+BG14*(1+$AI$20)</f>
        <v>227.71116659381616</v>
      </c>
      <c r="BI14" s="13">
        <f>+BH14*(1+$AI$20)</f>
        <v>225.43405492787801</v>
      </c>
      <c r="BJ14" s="13">
        <f>+BI14*(1+$AI$20)</f>
        <v>223.17971437859921</v>
      </c>
      <c r="BK14" s="13">
        <f>+BJ14*(1+$AI$20)</f>
        <v>220.94791723481322</v>
      </c>
      <c r="BL14" s="13">
        <f>+BK14*(1+$AI$20)</f>
        <v>218.73843806246509</v>
      </c>
      <c r="BM14" s="13">
        <f>+BL14*(1+$AI$20)</f>
        <v>216.55105368184044</v>
      </c>
      <c r="BN14" s="13">
        <f>+BM14*(1+$AI$20)</f>
        <v>214.38554314502204</v>
      </c>
      <c r="BO14" s="13">
        <f>+BN14*(1+$AI$20)</f>
        <v>212.24168771357182</v>
      </c>
      <c r="BP14" s="13">
        <f>+BO14*(1+$AI$20)</f>
        <v>210.1192708364361</v>
      </c>
      <c r="BQ14" s="13">
        <f>+BP14*(1+$AI$20)</f>
        <v>208.01807812807175</v>
      </c>
      <c r="BR14" s="13">
        <f>+BQ14*(1+$AI$20)</f>
        <v>205.93789734679103</v>
      </c>
      <c r="BS14" s="13">
        <f>+BR14*(1+$AI$20)</f>
        <v>203.87851837332312</v>
      </c>
      <c r="BT14" s="13">
        <f>+BS14*(1+$AI$20)</f>
        <v>201.83973318958988</v>
      </c>
      <c r="BU14" s="13">
        <f>+BT14*(1+$AI$20)</f>
        <v>199.82133585769398</v>
      </c>
      <c r="BV14" s="13">
        <f>+BU14*(1+$AI$20)</f>
        <v>197.82312249911703</v>
      </c>
      <c r="BW14" s="13">
        <f>+BV14*(1+$AI$20)</f>
        <v>195.84489127412587</v>
      </c>
      <c r="BX14" s="13">
        <f>+BW14*(1+$AI$20)</f>
        <v>193.88644236138461</v>
      </c>
      <c r="BY14" s="13">
        <f>+BX14*(1+$AI$20)</f>
        <v>191.94757793777077</v>
      </c>
      <c r="BZ14" s="13">
        <f>+BY14*(1+$AI$20)</f>
        <v>190.02810215839307</v>
      </c>
      <c r="CA14" s="13">
        <f>+BZ14*(1+$AI$20)</f>
        <v>188.12782113680913</v>
      </c>
      <c r="CB14" s="13">
        <f>+CA14*(1+$AI$20)</f>
        <v>186.24654292544105</v>
      </c>
      <c r="CC14" s="13">
        <f>+CB14*(1+$AI$20)</f>
        <v>184.38407749618665</v>
      </c>
      <c r="CD14" s="13">
        <f>+CC14*(1+$AI$20)</f>
        <v>182.54023672122477</v>
      </c>
      <c r="CE14" s="13">
        <f>+CD14*(1+$AI$20)</f>
        <v>180.71483435401251</v>
      </c>
      <c r="CF14" s="13">
        <f>+CE14*(1+$AI$20)</f>
        <v>178.90768601047239</v>
      </c>
      <c r="CG14" s="13">
        <f>+CF14*(1+$AI$20)</f>
        <v>177.11860915036766</v>
      </c>
      <c r="CH14" s="13">
        <f>+CG14*(1+$AI$20)</f>
        <v>175.347423058864</v>
      </c>
      <c r="CI14" s="13">
        <f>+CH14*(1+$AI$20)</f>
        <v>173.59394882827536</v>
      </c>
      <c r="CJ14" s="13">
        <f>+CI14*(1+$AI$20)</f>
        <v>171.85800933999261</v>
      </c>
      <c r="CK14" s="13">
        <f>+CJ14*(1+$AI$20)</f>
        <v>170.13942924659267</v>
      </c>
      <c r="CL14" s="13">
        <f>+CK14*(1+$AI$20)</f>
        <v>168.43803495412675</v>
      </c>
      <c r="CM14" s="13">
        <f>+CL14*(1+$AI$20)</f>
        <v>166.75365460458548</v>
      </c>
      <c r="CN14" s="13">
        <f>+CM14*(1+$AI$20)</f>
        <v>165.08611805853963</v>
      </c>
      <c r="CO14" s="13">
        <f>+CN14*(1+$AI$20)</f>
        <v>163.43525687795423</v>
      </c>
      <c r="CP14" s="13">
        <f>+CO14*(1+$AI$20)</f>
        <v>161.80090430917468</v>
      </c>
      <c r="CQ14" s="13">
        <f>+CP14*(1+$AI$20)</f>
        <v>160.18289526608294</v>
      </c>
      <c r="CR14" s="13">
        <f>+CQ14*(1+$AI$20)</f>
        <v>158.5810663134221</v>
      </c>
      <c r="CS14" s="13">
        <f>+CR14*(1+$AI$20)</f>
        <v>156.99525565028787</v>
      </c>
      <c r="CT14" s="13">
        <f>+CS14*(1+$AI$20)</f>
        <v>155.425303093785</v>
      </c>
      <c r="CU14" s="13">
        <f>+CT14*(1+$AI$20)</f>
        <v>153.87105006284716</v>
      </c>
      <c r="CV14" s="13">
        <f>+CU14*(1+$AI$20)</f>
        <v>152.33233956221869</v>
      </c>
      <c r="CW14" s="13">
        <f>+CV14*(1+$AI$20)</f>
        <v>150.80901616659651</v>
      </c>
      <c r="CX14" s="13">
        <f>+CW14*(1+$AI$20)</f>
        <v>149.30092600493055</v>
      </c>
      <c r="CY14" s="13">
        <f>+CX14*(1+$AI$20)</f>
        <v>147.80791674488123</v>
      </c>
      <c r="CZ14" s="13">
        <f>+CY14*(1+$AI$20)</f>
        <v>146.32983757743241</v>
      </c>
      <c r="DA14" s="13">
        <f>+CZ14*(1+$AI$20)</f>
        <v>144.8665392016581</v>
      </c>
      <c r="DB14" s="13">
        <f>+DA14*(1+$AI$20)</f>
        <v>143.41787380964152</v>
      </c>
      <c r="DC14" s="13">
        <f>+DB14*(1+$AI$20)</f>
        <v>141.9836950715451</v>
      </c>
      <c r="DD14" s="13">
        <f>+DC14*(1+$AI$20)</f>
        <v>140.56385812082965</v>
      </c>
      <c r="DE14" s="13">
        <f>+DD14*(1+$AI$20)</f>
        <v>139.15821953962134</v>
      </c>
      <c r="DF14" s="13">
        <f>+DE14*(1+$AI$20)</f>
        <v>137.76663734422513</v>
      </c>
      <c r="DG14" s="13">
        <f>+DF14*(1+$AI$20)</f>
        <v>136.38897097078288</v>
      </c>
      <c r="DH14" s="13">
        <f>+DG14*(1+$AI$20)</f>
        <v>135.02508126107506</v>
      </c>
      <c r="DI14" s="13">
        <f>+DH14*(1+$AI$20)</f>
        <v>133.67483044846432</v>
      </c>
      <c r="DJ14" s="13">
        <f>+DI14*(1+$AI$20)</f>
        <v>132.33808214397968</v>
      </c>
      <c r="DK14" s="13">
        <f>+DJ14*(1+$AI$20)</f>
        <v>131.01470132253988</v>
      </c>
      <c r="DL14" s="13">
        <f>+DK14*(1+$AI$20)</f>
        <v>129.70455430931449</v>
      </c>
      <c r="DM14" s="13">
        <f>+DL14*(1+$AI$20)</f>
        <v>128.40750876622135</v>
      </c>
      <c r="DN14" s="13">
        <f>+DM14*(1+$AI$20)</f>
        <v>127.12343367855914</v>
      </c>
      <c r="DO14" s="13">
        <f>+DN14*(1+$AI$20)</f>
        <v>125.85219934177354</v>
      </c>
      <c r="DP14" s="13">
        <f>+DO14*(1+$AI$20)</f>
        <v>124.59367734835581</v>
      </c>
      <c r="DQ14" s="13">
        <f>+DP14*(1+$AI$20)</f>
        <v>123.34774057487225</v>
      </c>
      <c r="DR14" s="13">
        <f>+DQ14*(1+$AI$20)</f>
        <v>122.11426316912352</v>
      </c>
      <c r="DS14" s="13">
        <f>+DR14*(1+$AI$20)</f>
        <v>120.89312053743228</v>
      </c>
      <c r="DT14" s="13">
        <f>+DS14*(1+$AI$20)</f>
        <v>119.68418933205795</v>
      </c>
      <c r="DU14" s="13">
        <f>+DT14*(1+$AI$20)</f>
        <v>118.48734743873737</v>
      </c>
      <c r="DV14" s="13">
        <f>+DU14*(1+$AI$20)</f>
        <v>117.30247396435</v>
      </c>
      <c r="DW14" s="13">
        <f>+DV14*(1+$AI$20)</f>
        <v>116.12944922470651</v>
      </c>
      <c r="DX14" s="13">
        <f>+DW14*(1+$AI$20)</f>
        <v>114.96815473245944</v>
      </c>
      <c r="DY14" s="13">
        <f>+DX14*(1+$AI$20)</f>
        <v>113.81847318513485</v>
      </c>
      <c r="DZ14" s="13">
        <f>+DY14*(1+$AI$20)</f>
        <v>112.6802884532835</v>
      </c>
      <c r="EA14" s="13">
        <f>+DZ14*(1+$AI$20)</f>
        <v>111.55348556875066</v>
      </c>
      <c r="EB14" s="13">
        <f>+EA14*(1+$AI$20)</f>
        <v>110.43795071306315</v>
      </c>
      <c r="EC14" s="13">
        <f>+EB14*(1+$AI$20)</f>
        <v>109.33357120593251</v>
      </c>
    </row>
    <row r="15" spans="2:133" s="23" customFormat="1" x14ac:dyDescent="0.2">
      <c r="B15" s="24" t="s">
        <v>29</v>
      </c>
      <c r="C15" s="23">
        <f t="shared" ref="C15:K15" si="16">+C14/C16</f>
        <v>-6.227925969136211E-3</v>
      </c>
      <c r="D15" s="23">
        <f t="shared" si="16"/>
        <v>1.6408674682324789E-2</v>
      </c>
      <c r="E15" s="23">
        <f t="shared" si="16"/>
        <v>0.1872814511107615</v>
      </c>
      <c r="F15" s="23">
        <f t="shared" si="16"/>
        <v>0.26496655700559923</v>
      </c>
      <c r="G15" s="23">
        <f t="shared" si="16"/>
        <v>0.3751110739642628</v>
      </c>
      <c r="H15" s="23">
        <f t="shared" si="16"/>
        <v>2.0565185058062926E-2</v>
      </c>
      <c r="I15" s="23">
        <f t="shared" si="16"/>
        <v>0.24159218892917367</v>
      </c>
      <c r="J15" s="23">
        <f t="shared" si="16"/>
        <v>0.25365772073990678</v>
      </c>
      <c r="K15" s="23">
        <f t="shared" si="16"/>
        <v>-0.55928891733189745</v>
      </c>
      <c r="P15" s="23">
        <f t="shared" ref="P15:U15" si="17">+P14/P16</f>
        <v>0.1154443291953781</v>
      </c>
      <c r="Q15" s="23">
        <f t="shared" si="17"/>
        <v>0.85475968965782223</v>
      </c>
      <c r="R15" s="23">
        <f t="shared" si="17"/>
        <v>0.6620221522805263</v>
      </c>
      <c r="S15" s="23">
        <f t="shared" si="17"/>
        <v>0.83805299571622682</v>
      </c>
      <c r="T15" s="23">
        <f t="shared" si="17"/>
        <v>0.59106229377884067</v>
      </c>
      <c r="U15" s="23">
        <f t="shared" si="17"/>
        <v>0.56598131354481362</v>
      </c>
      <c r="V15" s="23">
        <f t="shared" ref="V15:AF15" si="18">+V14/V16</f>
        <v>0.57547301316080191</v>
      </c>
      <c r="W15" s="23">
        <f t="shared" si="18"/>
        <v>0.58508951848749768</v>
      </c>
      <c r="X15" s="23">
        <f t="shared" si="18"/>
        <v>0.59483231071398224</v>
      </c>
      <c r="Y15" s="23">
        <f t="shared" si="18"/>
        <v>0.60470288765965752</v>
      </c>
      <c r="Z15" s="23">
        <f t="shared" si="18"/>
        <v>0.61470276395472923</v>
      </c>
      <c r="AA15" s="23">
        <f t="shared" si="18"/>
        <v>0.62483347122261623</v>
      </c>
      <c r="AB15" s="23">
        <f t="shared" si="18"/>
        <v>0.63509655826428291</v>
      </c>
      <c r="AC15" s="23">
        <f t="shared" si="18"/>
        <v>0.64549359124453543</v>
      </c>
      <c r="AD15" s="23">
        <f t="shared" si="18"/>
        <v>0.65602615388029228</v>
      </c>
      <c r="AE15" s="23">
        <f t="shared" si="18"/>
        <v>0.6666958476308491</v>
      </c>
      <c r="AF15" s="23">
        <f t="shared" si="18"/>
        <v>0.67750429189016226</v>
      </c>
    </row>
    <row r="16" spans="2:133" x14ac:dyDescent="0.2">
      <c r="B16" s="10" t="s">
        <v>19</v>
      </c>
      <c r="C16" s="6">
        <v>471.42500000000001</v>
      </c>
      <c r="D16" s="6">
        <v>468.16699999999997</v>
      </c>
      <c r="E16" s="6">
        <v>464.14100000000002</v>
      </c>
      <c r="F16" s="6">
        <v>458.99</v>
      </c>
      <c r="G16" s="6">
        <v>454.65199999999999</v>
      </c>
      <c r="H16" s="6">
        <v>454.50599999999997</v>
      </c>
      <c r="I16" s="6">
        <v>453.71499999999997</v>
      </c>
      <c r="J16" s="6">
        <v>448.435</v>
      </c>
      <c r="K16" s="6">
        <f>+J16-3.1</f>
        <v>445.33499999999998</v>
      </c>
      <c r="P16" s="6">
        <v>454.089</v>
      </c>
      <c r="Q16" s="6">
        <v>468.64400000000001</v>
      </c>
      <c r="R16" s="6">
        <v>472.45699999999999</v>
      </c>
      <c r="S16" s="6">
        <v>461.50900000000001</v>
      </c>
      <c r="T16" s="6">
        <f>+K16</f>
        <v>445.33499999999998</v>
      </c>
      <c r="U16" s="6">
        <f>+T16</f>
        <v>445.33499999999998</v>
      </c>
      <c r="V16" s="6">
        <f t="shared" ref="V16:AF16" si="19">+U16</f>
        <v>445.33499999999998</v>
      </c>
      <c r="W16" s="6">
        <f t="shared" si="19"/>
        <v>445.33499999999998</v>
      </c>
      <c r="X16" s="6">
        <f t="shared" si="19"/>
        <v>445.33499999999998</v>
      </c>
      <c r="Y16" s="6">
        <f t="shared" si="19"/>
        <v>445.33499999999998</v>
      </c>
      <c r="Z16" s="6">
        <f t="shared" si="19"/>
        <v>445.33499999999998</v>
      </c>
      <c r="AA16" s="6">
        <f t="shared" si="19"/>
        <v>445.33499999999998</v>
      </c>
      <c r="AB16" s="6">
        <f t="shared" si="19"/>
        <v>445.33499999999998</v>
      </c>
      <c r="AC16" s="6">
        <f t="shared" si="19"/>
        <v>445.33499999999998</v>
      </c>
      <c r="AD16" s="6">
        <f t="shared" si="19"/>
        <v>445.33499999999998</v>
      </c>
      <c r="AE16" s="6">
        <f t="shared" si="19"/>
        <v>445.33499999999998</v>
      </c>
      <c r="AF16" s="6">
        <f t="shared" si="19"/>
        <v>445.33499999999998</v>
      </c>
    </row>
    <row r="18" spans="2:38" s="1" customFormat="1" x14ac:dyDescent="0.2">
      <c r="B18" s="2" t="s">
        <v>36</v>
      </c>
      <c r="C18" s="1">
        <f>+C7/C5</f>
        <v>0.46517262451525621</v>
      </c>
      <c r="D18" s="1">
        <f t="shared" ref="D18:J18" si="20">+D7/D5</f>
        <v>0.46713889776340067</v>
      </c>
      <c r="E18" s="1">
        <f t="shared" si="20"/>
        <v>0.45354902041762896</v>
      </c>
      <c r="F18" s="1">
        <f t="shared" si="20"/>
        <v>0.44153078080973285</v>
      </c>
      <c r="G18" s="1">
        <f t="shared" si="20"/>
        <v>0.43383970268344063</v>
      </c>
      <c r="H18" s="1">
        <f t="shared" si="20"/>
        <v>0.46145061700273043</v>
      </c>
      <c r="I18" s="1">
        <f t="shared" si="20"/>
        <v>0.47998353237038122</v>
      </c>
      <c r="J18" s="1">
        <f t="shared" si="20"/>
        <v>0.45164070937591477</v>
      </c>
      <c r="K18" s="1">
        <f t="shared" ref="K18" si="21">+K7/K5</f>
        <v>0.26951277330486673</v>
      </c>
      <c r="P18" s="1">
        <f t="shared" ref="P18" si="22">+P7/P5</f>
        <v>0.48273871552899916</v>
      </c>
      <c r="Q18" s="1">
        <f t="shared" ref="Q18:R18" si="23">+Q7/Q5</f>
        <v>0.50347780738021486</v>
      </c>
      <c r="R18" s="1">
        <f t="shared" si="23"/>
        <v>0.49553255892566306</v>
      </c>
      <c r="S18" s="1">
        <f t="shared" ref="S18:U18" si="24">+S7/S5</f>
        <v>0.44876411757093426</v>
      </c>
    </row>
    <row r="19" spans="2:38" s="1" customFormat="1" x14ac:dyDescent="0.2">
      <c r="B19" s="2" t="s">
        <v>49</v>
      </c>
      <c r="C19" s="1">
        <f t="shared" ref="C19:I19" si="25">+C8/C5</f>
        <v>0.45693399797839268</v>
      </c>
      <c r="D19" s="1">
        <f t="shared" si="25"/>
        <v>0.44157808009594857</v>
      </c>
      <c r="E19" s="1">
        <f t="shared" si="25"/>
        <v>0.37767943655349662</v>
      </c>
      <c r="F19" s="1">
        <f t="shared" si="25"/>
        <v>0.38168747759645616</v>
      </c>
      <c r="G19" s="1">
        <f t="shared" si="25"/>
        <v>0.40863513313551308</v>
      </c>
      <c r="H19" s="1">
        <f t="shared" si="25"/>
        <v>0.4455585826097257</v>
      </c>
      <c r="I19" s="1">
        <f t="shared" si="25"/>
        <v>0.38694844610680978</v>
      </c>
      <c r="J19" s="1">
        <f>+J8/J5</f>
        <v>0.4048603891406673</v>
      </c>
      <c r="K19" s="1">
        <f>+K8/K5</f>
        <v>0.46364588024741743</v>
      </c>
      <c r="P19" s="1">
        <f t="shared" ref="P19:R19" si="26">+P8/P5</f>
        <v>0.48538449900294256</v>
      </c>
      <c r="Q19" s="1">
        <f t="shared" si="26"/>
        <v>0.41078648134782536</v>
      </c>
      <c r="R19" s="1">
        <f t="shared" si="26"/>
        <v>0.42158336615905523</v>
      </c>
      <c r="S19" s="1">
        <f>+S8/S5</f>
        <v>0.40069018482846841</v>
      </c>
      <c r="T19" s="1">
        <v>0.41</v>
      </c>
      <c r="U19" s="1">
        <f>+U8/U5</f>
        <v>0.36941421919192396</v>
      </c>
      <c r="V19" s="1">
        <f t="shared" ref="V19:AF19" si="27">+V8/V5</f>
        <v>0.36941421919192396</v>
      </c>
      <c r="W19" s="1">
        <f t="shared" si="27"/>
        <v>0.36941421919192402</v>
      </c>
      <c r="X19" s="1">
        <f t="shared" si="27"/>
        <v>0.36941421919192408</v>
      </c>
      <c r="Y19" s="1">
        <f t="shared" si="27"/>
        <v>0.36941421919192408</v>
      </c>
      <c r="Z19" s="1">
        <f t="shared" si="27"/>
        <v>0.36941421919192413</v>
      </c>
      <c r="AA19" s="1">
        <f t="shared" si="27"/>
        <v>0.36941421919192408</v>
      </c>
      <c r="AB19" s="1">
        <f t="shared" si="27"/>
        <v>0.36941421919192413</v>
      </c>
      <c r="AC19" s="1">
        <f t="shared" si="27"/>
        <v>0.36941421919192413</v>
      </c>
      <c r="AD19" s="1">
        <f t="shared" si="27"/>
        <v>0.36941421919192419</v>
      </c>
      <c r="AE19" s="1">
        <f t="shared" si="27"/>
        <v>0.36941421919192419</v>
      </c>
      <c r="AF19" s="1">
        <f t="shared" si="27"/>
        <v>0.36941421919192419</v>
      </c>
      <c r="AH19" s="29" t="s">
        <v>70</v>
      </c>
      <c r="AI19" s="1">
        <v>0.01</v>
      </c>
    </row>
    <row r="20" spans="2:38" s="1" customFormat="1" x14ac:dyDescent="0.2">
      <c r="B20" s="2" t="s">
        <v>37</v>
      </c>
      <c r="C20" s="1">
        <f>+C9/C5</f>
        <v>8.2386265368635577E-3</v>
      </c>
      <c r="D20" s="1">
        <f t="shared" ref="D20:J20" si="28">+D9/D5</f>
        <v>2.5560817667452114E-2</v>
      </c>
      <c r="E20" s="1">
        <f t="shared" si="28"/>
        <v>7.5869583864132367E-2</v>
      </c>
      <c r="F20" s="1">
        <f t="shared" si="28"/>
        <v>5.9843303213276675E-2</v>
      </c>
      <c r="G20" s="1">
        <f t="shared" si="28"/>
        <v>2.5204569547927581E-2</v>
      </c>
      <c r="H20" s="1">
        <f t="shared" si="28"/>
        <v>1.5892034393004736E-2</v>
      </c>
      <c r="I20" s="1">
        <f t="shared" si="28"/>
        <v>9.3035086263571445E-2</v>
      </c>
      <c r="J20" s="1">
        <f t="shared" si="28"/>
        <v>4.6780320235247475E-2</v>
      </c>
      <c r="K20" s="1">
        <f t="shared" ref="K20" si="29">+K9/K5</f>
        <v>-0.1941331069425507</v>
      </c>
      <c r="P20" s="1">
        <f t="shared" ref="P20" si="30">+P9/P5</f>
        <v>-2.6457834739434111E-3</v>
      </c>
      <c r="Q20" s="1">
        <f t="shared" ref="Q20:R20" si="31">+Q9/Q5</f>
        <v>9.2691326032389457E-2</v>
      </c>
      <c r="R20" s="1">
        <f t="shared" si="31"/>
        <v>7.3949192766607816E-2</v>
      </c>
      <c r="S20" s="1">
        <f t="shared" ref="S20:T20" si="32">+S9/S5</f>
        <v>4.8073932742465852E-2</v>
      </c>
      <c r="T20" s="1">
        <v>0.04</v>
      </c>
      <c r="U20" s="1">
        <f t="shared" ref="U20:AF20" si="33">+U9/U5</f>
        <v>5.0639696169162994E-2</v>
      </c>
      <c r="V20" s="1">
        <f t="shared" si="33"/>
        <v>5.0639696169162952E-2</v>
      </c>
      <c r="W20" s="1">
        <f t="shared" si="33"/>
        <v>5.0639696169162855E-2</v>
      </c>
      <c r="X20" s="1">
        <f t="shared" si="33"/>
        <v>5.0639696169162779E-2</v>
      </c>
      <c r="Y20" s="1">
        <f t="shared" si="33"/>
        <v>5.0639696169162814E-2</v>
      </c>
      <c r="Z20" s="1">
        <f t="shared" si="33"/>
        <v>5.0639696169162758E-2</v>
      </c>
      <c r="AA20" s="1">
        <f t="shared" si="33"/>
        <v>5.0639696169162772E-2</v>
      </c>
      <c r="AB20" s="1">
        <f t="shared" si="33"/>
        <v>5.0639696169162737E-2</v>
      </c>
      <c r="AC20" s="1">
        <f t="shared" si="33"/>
        <v>5.0639696169162682E-2</v>
      </c>
      <c r="AD20" s="1">
        <f t="shared" si="33"/>
        <v>5.0639696169162647E-2</v>
      </c>
      <c r="AE20" s="1">
        <f t="shared" si="33"/>
        <v>5.0639696169162675E-2</v>
      </c>
      <c r="AF20" s="1">
        <f t="shared" si="33"/>
        <v>5.0639696169162626E-2</v>
      </c>
      <c r="AH20" s="2" t="s">
        <v>44</v>
      </c>
      <c r="AI20" s="1">
        <v>-0.01</v>
      </c>
    </row>
    <row r="21" spans="2:38" s="1" customFormat="1" x14ac:dyDescent="0.2">
      <c r="B21" s="2" t="s">
        <v>38</v>
      </c>
      <c r="C21" s="1">
        <f>+C14/C5</f>
        <v>-2.2568210031938614E-3</v>
      </c>
      <c r="D21" s="1">
        <f t="shared" ref="D21:J21" si="34">+D14/D5</f>
        <v>5.6943479778837729E-3</v>
      </c>
      <c r="E21" s="1">
        <f t="shared" si="34"/>
        <v>5.5229575223094414E-2</v>
      </c>
      <c r="F21" s="1">
        <f t="shared" si="34"/>
        <v>7.6886117610465668E-2</v>
      </c>
      <c r="G21" s="1">
        <f t="shared" si="34"/>
        <v>0.12191251350155444</v>
      </c>
      <c r="H21" s="1">
        <f t="shared" si="34"/>
        <v>7.0971259183666875E-3</v>
      </c>
      <c r="I21" s="1">
        <f t="shared" si="34"/>
        <v>6.9964447791869597E-2</v>
      </c>
      <c r="J21" s="1">
        <f t="shared" si="34"/>
        <v>7.6542212981000612E-2</v>
      </c>
      <c r="K21" s="1">
        <f t="shared" ref="K21" si="35">+K14/K5</f>
        <v>-0.19193650674365323</v>
      </c>
      <c r="P21" s="1">
        <f t="shared" ref="P21" si="36">+P14/P5</f>
        <v>1.1715285182115237E-2</v>
      </c>
      <c r="Q21" s="1">
        <f t="shared" ref="Q21:R21" si="37">+Q14/Q5</f>
        <v>7.0481287298982773E-2</v>
      </c>
      <c r="R21" s="1">
        <f t="shared" si="37"/>
        <v>5.4612398065657132E-2</v>
      </c>
      <c r="S21" s="1">
        <f t="shared" ref="S21:T21" si="38">+S14/S5</f>
        <v>6.5513693594930325E-2</v>
      </c>
      <c r="T21" s="1">
        <f t="shared" si="38"/>
        <v>4.6443963834321755E-2</v>
      </c>
      <c r="U21" s="1">
        <f t="shared" ref="U21:AF21" si="39">+U14/U5</f>
        <v>4.4032844574848407E-2</v>
      </c>
      <c r="V21" s="1">
        <f t="shared" si="39"/>
        <v>4.4328010289754118E-2</v>
      </c>
      <c r="W21" s="1">
        <f t="shared" si="39"/>
        <v>4.4622533069439203E-2</v>
      </c>
      <c r="X21" s="1">
        <f t="shared" si="39"/>
        <v>4.4916414314356667E-2</v>
      </c>
      <c r="Y21" s="1">
        <f t="shared" si="39"/>
        <v>4.5209655421909058E-2</v>
      </c>
      <c r="Z21" s="1">
        <f t="shared" si="39"/>
        <v>4.5502257786454836E-2</v>
      </c>
      <c r="AA21" s="1">
        <f t="shared" si="39"/>
        <v>4.5794222799315498E-2</v>
      </c>
      <c r="AB21" s="1">
        <f t="shared" si="39"/>
        <v>4.608555184878179E-2</v>
      </c>
      <c r="AC21" s="1">
        <f t="shared" si="39"/>
        <v>4.6376246320120502E-2</v>
      </c>
      <c r="AD21" s="1">
        <f t="shared" si="39"/>
        <v>4.6666307595581082E-2</v>
      </c>
      <c r="AE21" s="1">
        <f t="shared" si="39"/>
        <v>4.6955737054402084E-2</v>
      </c>
      <c r="AF21" s="1">
        <f t="shared" si="39"/>
        <v>4.7244536072817665E-2</v>
      </c>
      <c r="AH21" s="2" t="s">
        <v>45</v>
      </c>
      <c r="AI21" s="1">
        <v>7.0000000000000007E-2</v>
      </c>
    </row>
    <row r="22" spans="2:38" s="1" customFormat="1" x14ac:dyDescent="0.2">
      <c r="B22" s="2" t="s">
        <v>39</v>
      </c>
      <c r="C22" s="1" t="s">
        <v>41</v>
      </c>
      <c r="D22" s="1">
        <f t="shared" ref="D22:J22" si="40">+D13/D12</f>
        <v>0.46042003231017936</v>
      </c>
      <c r="E22" s="1">
        <f t="shared" si="40"/>
        <v>0.21037571309182088</v>
      </c>
      <c r="F22" s="1">
        <f t="shared" si="40"/>
        <v>0.13351050186668187</v>
      </c>
      <c r="G22" s="1" t="s">
        <v>41</v>
      </c>
      <c r="H22" s="1">
        <f t="shared" si="40"/>
        <v>0.27649198854400603</v>
      </c>
      <c r="I22" s="1">
        <f t="shared" si="40"/>
        <v>0.21116604417193804</v>
      </c>
      <c r="J22" s="1">
        <f t="shared" si="40"/>
        <v>4.3684055655975412E-2</v>
      </c>
      <c r="K22" s="1" t="s">
        <v>41</v>
      </c>
      <c r="P22" s="1">
        <f>+P13/P12</f>
        <v>0.51930677181238805</v>
      </c>
      <c r="Q22" s="1">
        <f t="shared" ref="Q22:R22" si="41">+Q13/Q12</f>
        <v>7.1435691187890379E-2</v>
      </c>
      <c r="R22" s="1">
        <f t="shared" si="41"/>
        <v>8.8703521336044741E-2</v>
      </c>
      <c r="S22" s="1" t="s">
        <v>41</v>
      </c>
      <c r="T22" s="1">
        <v>0.22</v>
      </c>
      <c r="U22" s="1">
        <v>0.22</v>
      </c>
      <c r="V22" s="1">
        <v>0.22</v>
      </c>
      <c r="W22" s="1">
        <v>0.22</v>
      </c>
      <c r="X22" s="1">
        <v>0.22</v>
      </c>
      <c r="Y22" s="1">
        <v>0.22</v>
      </c>
      <c r="Z22" s="1">
        <v>0.22</v>
      </c>
      <c r="AA22" s="1">
        <v>0.22</v>
      </c>
      <c r="AB22" s="1">
        <v>0.22</v>
      </c>
      <c r="AC22" s="1">
        <v>0.22</v>
      </c>
      <c r="AD22" s="1">
        <v>0.22</v>
      </c>
      <c r="AE22" s="1">
        <v>0.22</v>
      </c>
      <c r="AF22" s="1">
        <v>0.22</v>
      </c>
      <c r="AH22" s="2" t="s">
        <v>46</v>
      </c>
      <c r="AI22" s="15">
        <f>NPV(AI21,T14:EC14)</f>
        <v>3819.4370951181972</v>
      </c>
    </row>
    <row r="23" spans="2:38" x14ac:dyDescent="0.2">
      <c r="AH23" s="2" t="s">
        <v>43</v>
      </c>
      <c r="AI23" s="15">
        <f>+S27</f>
        <v>364.04699999999991</v>
      </c>
      <c r="AL23" s="15"/>
    </row>
    <row r="24" spans="2:38" s="3" customFormat="1" x14ac:dyDescent="0.2">
      <c r="B24" s="4" t="s">
        <v>40</v>
      </c>
      <c r="G24" s="3">
        <f t="shared" ref="G24:I24" si="42">+G5/C5-1</f>
        <v>7.5305258869514224E-2</v>
      </c>
      <c r="H24" s="3">
        <f t="shared" si="42"/>
        <v>-2.3753629387045949E-2</v>
      </c>
      <c r="I24" s="3">
        <f t="shared" si="42"/>
        <v>-4.5587828843911549E-3</v>
      </c>
      <c r="J24" s="3">
        <f>+J5/F5-1</f>
        <v>-6.0492571348372493E-2</v>
      </c>
      <c r="K24" s="3">
        <f>+K5/G5-1</f>
        <v>-7.2370075908937737E-2</v>
      </c>
      <c r="Q24" s="3">
        <f t="shared" ref="Q24:R24" si="43">+Q5/P5-1</f>
        <v>0.27014278380938728</v>
      </c>
      <c r="R24" s="3">
        <f t="shared" si="43"/>
        <v>7.6977675242537735E-3</v>
      </c>
      <c r="S24" s="3">
        <f>+S5/R5-1</f>
        <v>3.080379716776882E-2</v>
      </c>
      <c r="T24" s="3">
        <f>+T5/S5-1</f>
        <v>-4.0000000000000036E-2</v>
      </c>
      <c r="U24" s="3">
        <f t="shared" ref="U24:AF24" si="44">+U5/T5-1</f>
        <v>1.0000000000000009E-2</v>
      </c>
      <c r="V24" s="3">
        <f t="shared" si="44"/>
        <v>1.0000000000000009E-2</v>
      </c>
      <c r="W24" s="3">
        <f t="shared" si="44"/>
        <v>1.0000000000000009E-2</v>
      </c>
      <c r="X24" s="3">
        <f t="shared" si="44"/>
        <v>1.0000000000000009E-2</v>
      </c>
      <c r="Y24" s="3">
        <f t="shared" si="44"/>
        <v>1.0000000000000009E-2</v>
      </c>
      <c r="Z24" s="3">
        <f t="shared" si="44"/>
        <v>1.0000000000000009E-2</v>
      </c>
      <c r="AA24" s="3">
        <f t="shared" si="44"/>
        <v>1.0000000000000009E-2</v>
      </c>
      <c r="AB24" s="3">
        <f t="shared" si="44"/>
        <v>1.0000000000000009E-2</v>
      </c>
      <c r="AC24" s="3">
        <f t="shared" si="44"/>
        <v>1.0000000000000009E-2</v>
      </c>
      <c r="AD24" s="3">
        <f t="shared" si="44"/>
        <v>1.0000000000000009E-2</v>
      </c>
      <c r="AE24" s="3">
        <f t="shared" si="44"/>
        <v>1.0000000000000009E-2</v>
      </c>
      <c r="AF24" s="3">
        <f t="shared" si="44"/>
        <v>1.0000000000000009E-2</v>
      </c>
      <c r="AH24" s="14" t="s">
        <v>50</v>
      </c>
      <c r="AI24" s="15">
        <f>+AI22-AI23</f>
        <v>3455.3900951181972</v>
      </c>
      <c r="AL24" s="1"/>
    </row>
    <row r="25" spans="2:38" s="17" customFormat="1" x14ac:dyDescent="0.2">
      <c r="B25" s="16"/>
      <c r="AH25" s="2" t="s">
        <v>47</v>
      </c>
      <c r="AI25" s="22">
        <f>+AI24/J16</f>
        <v>7.7054424724167321</v>
      </c>
    </row>
    <row r="26" spans="2:38" x14ac:dyDescent="0.2">
      <c r="AH26" s="10" t="s">
        <v>48</v>
      </c>
      <c r="AI26" s="23">
        <f>+Main!L3</f>
        <v>6.35</v>
      </c>
    </row>
    <row r="27" spans="2:38" x14ac:dyDescent="0.2">
      <c r="B27" s="10" t="s">
        <v>43</v>
      </c>
      <c r="J27" s="6">
        <f>+J28-J38</f>
        <v>364.04699999999991</v>
      </c>
      <c r="S27" s="6">
        <f>+J27</f>
        <v>364.04699999999991</v>
      </c>
      <c r="T27" s="6">
        <f>+S27+T14</f>
        <v>627.26772659999983</v>
      </c>
      <c r="U27" s="6">
        <f t="shared" ref="U27:AF27" si="45">+T27+U14</f>
        <v>879.31901486747938</v>
      </c>
      <c r="V27" s="6">
        <f t="shared" si="45"/>
        <v>1135.5972891834451</v>
      </c>
      <c r="W27" s="6">
        <f t="shared" si="45"/>
        <v>1396.158129899075</v>
      </c>
      <c r="X27" s="6">
        <f t="shared" si="45"/>
        <v>1661.0577769908864</v>
      </c>
      <c r="Y27" s="6">
        <f t="shared" si="45"/>
        <v>1930.3531374668</v>
      </c>
      <c r="Z27" s="6">
        <f t="shared" si="45"/>
        <v>2204.1017928525794</v>
      </c>
      <c r="AA27" s="6">
        <f t="shared" si="45"/>
        <v>2482.3620067595029</v>
      </c>
      <c r="AB27" s="6">
        <f t="shared" si="45"/>
        <v>2765.1927325341276</v>
      </c>
      <c r="AC27" s="6">
        <f t="shared" si="45"/>
        <v>3052.6536209910128</v>
      </c>
      <c r="AD27" s="6">
        <f t="shared" si="45"/>
        <v>3344.8050282292925</v>
      </c>
      <c r="AE27" s="6">
        <f t="shared" si="45"/>
        <v>3641.7080235339768</v>
      </c>
      <c r="AF27" s="6">
        <f t="shared" si="45"/>
        <v>3943.4243973628822</v>
      </c>
      <c r="AH27" s="28" t="s">
        <v>69</v>
      </c>
      <c r="AI27" s="1">
        <f>+AI25/AI26-1</f>
        <v>0.21345550746720199</v>
      </c>
    </row>
    <row r="28" spans="2:38" x14ac:dyDescent="0.2">
      <c r="B28" s="10" t="s">
        <v>21</v>
      </c>
      <c r="J28" s="6">
        <v>1040.0899999999999</v>
      </c>
    </row>
    <row r="29" spans="2:38" x14ac:dyDescent="0.2">
      <c r="B29" s="10" t="s">
        <v>52</v>
      </c>
      <c r="J29" s="6">
        <v>691.54600000000005</v>
      </c>
    </row>
    <row r="30" spans="2:38" x14ac:dyDescent="0.2">
      <c r="B30" s="10" t="s">
        <v>54</v>
      </c>
      <c r="J30" s="6">
        <v>1104.027</v>
      </c>
    </row>
    <row r="31" spans="2:38" x14ac:dyDescent="0.2">
      <c r="B31" s="10" t="s">
        <v>55</v>
      </c>
      <c r="J31" s="6">
        <v>287.15300000000002</v>
      </c>
    </row>
    <row r="32" spans="2:38" x14ac:dyDescent="0.2">
      <c r="B32" s="10" t="s">
        <v>56</v>
      </c>
      <c r="J32" s="6">
        <v>714.18299999999999</v>
      </c>
    </row>
    <row r="33" spans="2:10" x14ac:dyDescent="0.2">
      <c r="B33" s="10" t="s">
        <v>57</v>
      </c>
      <c r="J33" s="6">
        <v>456.20100000000002</v>
      </c>
    </row>
    <row r="34" spans="2:10" x14ac:dyDescent="0.2">
      <c r="B34" s="10" t="s">
        <v>58</v>
      </c>
      <c r="J34" s="6">
        <f>481.573+8.002</f>
        <v>489.57499999999999</v>
      </c>
    </row>
    <row r="35" spans="2:10" x14ac:dyDescent="0.2">
      <c r="B35" s="10" t="s">
        <v>53</v>
      </c>
      <c r="J35" s="6">
        <v>210.6</v>
      </c>
    </row>
    <row r="36" spans="2:10" x14ac:dyDescent="0.2">
      <c r="B36" s="10" t="s">
        <v>59</v>
      </c>
      <c r="J36" s="6">
        <v>51.131</v>
      </c>
    </row>
    <row r="37" spans="2:10" s="13" customFormat="1" x14ac:dyDescent="0.2">
      <c r="B37" s="12" t="s">
        <v>60</v>
      </c>
      <c r="J37" s="13">
        <f>SUM(J28:J36)</f>
        <v>5044.5060000000003</v>
      </c>
    </row>
    <row r="38" spans="2:10" x14ac:dyDescent="0.2">
      <c r="B38" s="10" t="s">
        <v>22</v>
      </c>
      <c r="J38" s="6">
        <f>80.919+595.124</f>
        <v>676.04300000000001</v>
      </c>
    </row>
    <row r="39" spans="2:10" x14ac:dyDescent="0.2">
      <c r="B39" s="10" t="s">
        <v>61</v>
      </c>
      <c r="J39" s="6">
        <v>699.43100000000004</v>
      </c>
    </row>
    <row r="40" spans="2:10" x14ac:dyDescent="0.2">
      <c r="B40" s="10" t="s">
        <v>62</v>
      </c>
      <c r="J40" s="6">
        <v>322.77999999999997</v>
      </c>
    </row>
    <row r="41" spans="2:10" x14ac:dyDescent="0.2">
      <c r="B41" s="10" t="s">
        <v>63</v>
      </c>
      <c r="J41" s="6">
        <v>160.786</v>
      </c>
    </row>
    <row r="42" spans="2:10" x14ac:dyDescent="0.2">
      <c r="B42" s="10" t="s">
        <v>57</v>
      </c>
      <c r="J42" s="6">
        <f>143.425+654.216</f>
        <v>797.64100000000008</v>
      </c>
    </row>
    <row r="43" spans="2:10" x14ac:dyDescent="0.2">
      <c r="B43" s="10" t="s">
        <v>64</v>
      </c>
      <c r="J43" s="6">
        <f>58.841+155.964</f>
        <v>214.80500000000001</v>
      </c>
    </row>
    <row r="44" spans="2:10" s="13" customFormat="1" x14ac:dyDescent="0.2">
      <c r="B44" s="12" t="s">
        <v>65</v>
      </c>
      <c r="J44" s="13">
        <f>SUM(J38:J43)</f>
        <v>2871.4860000000003</v>
      </c>
    </row>
    <row r="45" spans="2:10" x14ac:dyDescent="0.2">
      <c r="B45" s="10" t="s">
        <v>66</v>
      </c>
      <c r="J45" s="6">
        <f>+J37-J44</f>
        <v>2173.02</v>
      </c>
    </row>
    <row r="46" spans="2:10" x14ac:dyDescent="0.2">
      <c r="B46" s="10" t="s">
        <v>67</v>
      </c>
      <c r="J46" s="6">
        <f>+J44+J45</f>
        <v>5044.5060000000003</v>
      </c>
    </row>
  </sheetData>
  <pageMargins left="0.7" right="0.7" top="0.75" bottom="0.75" header="0.3" footer="0.3"/>
  <ignoredErrors>
    <ignoredError sqref="S5:S6 S10:S11 K5:K6 K10 T11" formulaRange="1"/>
    <ignoredError sqref="S7:S9 K7 K9 K12" formula="1" formulaRange="1"/>
    <ignoredError sqref="U7:AF7 U8:AF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2024-03-02T21:11:48Z</dcterms:created>
  <dcterms:modified xsi:type="dcterms:W3CDTF">2024-04-20T11:55:51Z</dcterms:modified>
</cp:coreProperties>
</file>