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13_ncr:1_{6EFF3DBF-4C16-42BA-8351-C2736A47A81F}" xr6:coauthVersionLast="47" xr6:coauthVersionMax="47" xr10:uidLastSave="{00000000-0000-0000-0000-000000000000}"/>
  <bookViews>
    <workbookView xWindow="14010" yWindow="0" windowWidth="14235" windowHeight="15495" xr2:uid="{8D5381C6-0372-459C-AEA6-640C8AE5DD25}"/>
  </bookViews>
  <sheets>
    <sheet name="Main" sheetId="1" r:id="rId1"/>
    <sheet name="Model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L7" i="1"/>
  <c r="L6" i="1"/>
  <c r="Q63" i="2"/>
  <c r="Q61" i="2"/>
  <c r="Q60" i="2"/>
  <c r="Q59" i="2"/>
  <c r="Q62" i="2" s="1"/>
  <c r="Q58" i="2"/>
  <c r="Q51" i="2"/>
  <c r="Q56" i="2" s="1"/>
  <c r="Q44" i="2"/>
  <c r="Q43" i="2"/>
  <c r="Q49" i="2" s="1"/>
  <c r="Q66" i="2" s="1"/>
  <c r="Q55" i="2"/>
  <c r="Q54" i="2"/>
  <c r="Q53" i="2"/>
  <c r="Q52" i="2"/>
  <c r="Q48" i="2"/>
  <c r="Q47" i="2"/>
  <c r="Q46" i="2"/>
  <c r="Q45" i="2"/>
  <c r="AG66" i="2"/>
  <c r="AG64" i="2"/>
  <c r="AG62" i="2"/>
  <c r="AG56" i="2"/>
  <c r="AG54" i="2"/>
  <c r="AG49" i="2"/>
  <c r="AG42" i="2"/>
  <c r="P66" i="2"/>
  <c r="P64" i="2"/>
  <c r="P63" i="2"/>
  <c r="P62" i="2"/>
  <c r="P61" i="2"/>
  <c r="P60" i="2"/>
  <c r="P59" i="2"/>
  <c r="P58" i="2"/>
  <c r="P55" i="2"/>
  <c r="P54" i="2"/>
  <c r="P56" i="2" s="1"/>
  <c r="P53" i="2"/>
  <c r="P52" i="2"/>
  <c r="P51" i="2"/>
  <c r="P49" i="2"/>
  <c r="P48" i="2"/>
  <c r="P47" i="2"/>
  <c r="P46" i="2"/>
  <c r="P45" i="2"/>
  <c r="P44" i="2"/>
  <c r="P43" i="2"/>
  <c r="O66" i="2"/>
  <c r="O64" i="2"/>
  <c r="O63" i="2"/>
  <c r="O62" i="2"/>
  <c r="O61" i="2"/>
  <c r="O60" i="2"/>
  <c r="O59" i="2"/>
  <c r="O58" i="2"/>
  <c r="O56" i="2"/>
  <c r="O55" i="2"/>
  <c r="O54" i="2"/>
  <c r="O53" i="2"/>
  <c r="O52" i="2"/>
  <c r="O51" i="2"/>
  <c r="O49" i="2"/>
  <c r="O48" i="2"/>
  <c r="O47" i="2"/>
  <c r="O46" i="2"/>
  <c r="O45" i="2"/>
  <c r="O44" i="2"/>
  <c r="O43" i="2"/>
  <c r="N62" i="2"/>
  <c r="N56" i="2"/>
  <c r="N49" i="2"/>
  <c r="N66" i="2" s="1"/>
  <c r="R64" i="2"/>
  <c r="R62" i="2"/>
  <c r="R56" i="2"/>
  <c r="R66" i="2"/>
  <c r="R49" i="2"/>
  <c r="P42" i="2"/>
  <c r="O42" i="2"/>
  <c r="N42" i="2"/>
  <c r="Q42" i="2"/>
  <c r="R42" i="2"/>
  <c r="Q33" i="2"/>
  <c r="Q32" i="2"/>
  <c r="Q29" i="2"/>
  <c r="Q30" i="2" s="1"/>
  <c r="Q27" i="2"/>
  <c r="Q39" i="2"/>
  <c r="Q35" i="2"/>
  <c r="Q37" i="2" s="1"/>
  <c r="Q26" i="2"/>
  <c r="R40" i="2"/>
  <c r="R39" i="2"/>
  <c r="R26" i="2"/>
  <c r="R33" i="2"/>
  <c r="R35" i="2" s="1"/>
  <c r="R37" i="2" s="1"/>
  <c r="R32" i="2"/>
  <c r="R29" i="2"/>
  <c r="R27" i="2"/>
  <c r="R30" i="2" s="1"/>
  <c r="R11" i="2"/>
  <c r="R7" i="2"/>
  <c r="Q18" i="2"/>
  <c r="Q15" i="2"/>
  <c r="Q13" i="2"/>
  <c r="Q10" i="2"/>
  <c r="Q9" i="2"/>
  <c r="Q8" i="2"/>
  <c r="Q6" i="2"/>
  <c r="Q5" i="2"/>
  <c r="Q4" i="2"/>
  <c r="Q3" i="2"/>
  <c r="AG11" i="2"/>
  <c r="AG7" i="2"/>
  <c r="E15" i="2"/>
  <c r="E13" i="2"/>
  <c r="E3" i="2"/>
  <c r="E10" i="2"/>
  <c r="E9" i="2"/>
  <c r="E8" i="2"/>
  <c r="E6" i="2"/>
  <c r="E5" i="2"/>
  <c r="E4" i="2"/>
  <c r="I15" i="2"/>
  <c r="I13" i="2"/>
  <c r="I10" i="2"/>
  <c r="I9" i="2"/>
  <c r="I8" i="2"/>
  <c r="I6" i="2"/>
  <c r="I5" i="2"/>
  <c r="I4" i="2"/>
  <c r="I3" i="2"/>
  <c r="B11" i="2"/>
  <c r="B7" i="2"/>
  <c r="F11" i="2"/>
  <c r="F7" i="2"/>
  <c r="C11" i="2"/>
  <c r="C7" i="2"/>
  <c r="G11" i="2"/>
  <c r="G7" i="2"/>
  <c r="D11" i="2"/>
  <c r="D7" i="2"/>
  <c r="H11" i="2"/>
  <c r="H7" i="2"/>
  <c r="M15" i="2"/>
  <c r="M13" i="2"/>
  <c r="M10" i="2"/>
  <c r="M9" i="2"/>
  <c r="M8" i="2"/>
  <c r="M6" i="2"/>
  <c r="M5" i="2"/>
  <c r="M4" i="2"/>
  <c r="M3" i="2"/>
  <c r="AD11" i="2"/>
  <c r="AD7" i="2"/>
  <c r="AD24" i="2" s="1"/>
  <c r="AE11" i="2"/>
  <c r="AE7" i="2"/>
  <c r="AF11" i="2"/>
  <c r="AF7" i="2"/>
  <c r="J11" i="2"/>
  <c r="J7" i="2"/>
  <c r="N11" i="2"/>
  <c r="N7" i="2"/>
  <c r="K11" i="2"/>
  <c r="K7" i="2"/>
  <c r="O11" i="2"/>
  <c r="O7" i="2"/>
  <c r="L11" i="2"/>
  <c r="L7" i="2"/>
  <c r="P11" i="2"/>
  <c r="P7" i="2"/>
  <c r="L5" i="1"/>
  <c r="L8" i="1" s="1"/>
  <c r="L10" i="1" s="1"/>
  <c r="X2" i="2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Q64" i="2" l="1"/>
  <c r="N64" i="2"/>
  <c r="Q40" i="2"/>
  <c r="P12" i="2"/>
  <c r="P14" i="2" s="1"/>
  <c r="P16" i="2" s="1"/>
  <c r="P17" i="2" s="1"/>
  <c r="Q7" i="2"/>
  <c r="R12" i="2"/>
  <c r="R20" i="2"/>
  <c r="R14" i="2"/>
  <c r="R24" i="2"/>
  <c r="AE24" i="2"/>
  <c r="I7" i="2"/>
  <c r="M7" i="2"/>
  <c r="Q24" i="2" s="1"/>
  <c r="E11" i="2"/>
  <c r="Q11" i="2"/>
  <c r="Q12" i="2" s="1"/>
  <c r="AF24" i="2"/>
  <c r="I11" i="2"/>
  <c r="M11" i="2"/>
  <c r="AG24" i="2"/>
  <c r="E7" i="2"/>
  <c r="AG12" i="2"/>
  <c r="F24" i="2"/>
  <c r="B12" i="2"/>
  <c r="J24" i="2"/>
  <c r="F12" i="2"/>
  <c r="G24" i="2"/>
  <c r="C12" i="2"/>
  <c r="K24" i="2"/>
  <c r="G12" i="2"/>
  <c r="H24" i="2"/>
  <c r="D12" i="2"/>
  <c r="D14" i="2" s="1"/>
  <c r="H12" i="2"/>
  <c r="L24" i="2"/>
  <c r="AD12" i="2"/>
  <c r="AD14" i="2" s="1"/>
  <c r="AE12" i="2"/>
  <c r="AF12" i="2"/>
  <c r="N24" i="2"/>
  <c r="J12" i="2"/>
  <c r="N12" i="2"/>
  <c r="O24" i="2"/>
  <c r="K12" i="2"/>
  <c r="O12" i="2"/>
  <c r="P24" i="2"/>
  <c r="L12" i="2"/>
  <c r="L14" i="2" s="1"/>
  <c r="L16" i="2" s="1"/>
  <c r="I12" i="2" l="1"/>
  <c r="I20" i="2" s="1"/>
  <c r="P22" i="2"/>
  <c r="P21" i="2"/>
  <c r="P20" i="2"/>
  <c r="M24" i="2"/>
  <c r="M12" i="2"/>
  <c r="M20" i="2" s="1"/>
  <c r="I14" i="2"/>
  <c r="I16" i="2" s="1"/>
  <c r="R16" i="2"/>
  <c r="R22" i="2"/>
  <c r="I24" i="2"/>
  <c r="M14" i="2"/>
  <c r="Q20" i="2"/>
  <c r="Q14" i="2"/>
  <c r="E12" i="2"/>
  <c r="AG14" i="2"/>
  <c r="AG20" i="2"/>
  <c r="B20" i="2"/>
  <c r="B14" i="2"/>
  <c r="F14" i="2"/>
  <c r="F20" i="2"/>
  <c r="C20" i="2"/>
  <c r="C14" i="2"/>
  <c r="G14" i="2"/>
  <c r="G20" i="2"/>
  <c r="D20" i="2"/>
  <c r="H20" i="2"/>
  <c r="H14" i="2"/>
  <c r="AD20" i="2"/>
  <c r="AE20" i="2"/>
  <c r="AE14" i="2"/>
  <c r="AF14" i="2"/>
  <c r="AF20" i="2"/>
  <c r="J20" i="2"/>
  <c r="J14" i="2"/>
  <c r="N14" i="2"/>
  <c r="N20" i="2"/>
  <c r="K14" i="2"/>
  <c r="K20" i="2"/>
  <c r="O20" i="2"/>
  <c r="O14" i="2"/>
  <c r="L20" i="2"/>
  <c r="I22" i="2" l="1"/>
  <c r="R21" i="2"/>
  <c r="R17" i="2"/>
  <c r="E20" i="2"/>
  <c r="E14" i="2"/>
  <c r="Q22" i="2"/>
  <c r="Q16" i="2"/>
  <c r="I21" i="2"/>
  <c r="I17" i="2"/>
  <c r="M16" i="2"/>
  <c r="M22" i="2"/>
  <c r="AG22" i="2"/>
  <c r="AG16" i="2"/>
  <c r="B22" i="2"/>
  <c r="B16" i="2"/>
  <c r="F22" i="2"/>
  <c r="F16" i="2"/>
  <c r="C22" i="2"/>
  <c r="C16" i="2"/>
  <c r="G16" i="2"/>
  <c r="G22" i="2"/>
  <c r="D22" i="2"/>
  <c r="D16" i="2"/>
  <c r="H22" i="2"/>
  <c r="H16" i="2"/>
  <c r="AD16" i="2"/>
  <c r="AD22" i="2"/>
  <c r="AE22" i="2"/>
  <c r="AE16" i="2"/>
  <c r="AF22" i="2"/>
  <c r="AF16" i="2"/>
  <c r="J22" i="2"/>
  <c r="J16" i="2"/>
  <c r="N16" i="2"/>
  <c r="N22" i="2"/>
  <c r="K22" i="2"/>
  <c r="K16" i="2"/>
  <c r="O22" i="2"/>
  <c r="O16" i="2"/>
  <c r="L22" i="2"/>
  <c r="M17" i="2" l="1"/>
  <c r="M21" i="2"/>
  <c r="Q21" i="2"/>
  <c r="Q17" i="2"/>
  <c r="E16" i="2"/>
  <c r="E22" i="2"/>
  <c r="AG21" i="2"/>
  <c r="AG17" i="2"/>
  <c r="B21" i="2"/>
  <c r="B17" i="2"/>
  <c r="F21" i="2"/>
  <c r="F17" i="2"/>
  <c r="C21" i="2"/>
  <c r="C17" i="2"/>
  <c r="G21" i="2"/>
  <c r="G17" i="2"/>
  <c r="D21" i="2"/>
  <c r="D17" i="2"/>
  <c r="H21" i="2"/>
  <c r="H17" i="2"/>
  <c r="AD21" i="2"/>
  <c r="AD17" i="2"/>
  <c r="AE21" i="2"/>
  <c r="AE17" i="2"/>
  <c r="AF21" i="2"/>
  <c r="AF17" i="2"/>
  <c r="J21" i="2"/>
  <c r="J17" i="2"/>
  <c r="N21" i="2"/>
  <c r="N17" i="2"/>
  <c r="K21" i="2"/>
  <c r="K17" i="2"/>
  <c r="O21" i="2"/>
  <c r="O17" i="2"/>
  <c r="L21" i="2"/>
  <c r="L17" i="2"/>
  <c r="E17" i="2" l="1"/>
  <c r="E21" i="2"/>
</calcChain>
</file>

<file path=xl/sharedStrings.xml><?xml version="1.0" encoding="utf-8"?>
<sst xmlns="http://schemas.openxmlformats.org/spreadsheetml/2006/main" count="85" uniqueCount="75">
  <si>
    <t>Revenue</t>
  </si>
  <si>
    <t>Pretax</t>
  </si>
  <si>
    <t>Taxes</t>
  </si>
  <si>
    <t>Net income</t>
  </si>
  <si>
    <t>EPS</t>
  </si>
  <si>
    <t>Shares</t>
  </si>
  <si>
    <t>Operating margin</t>
  </si>
  <si>
    <t>Net margin</t>
  </si>
  <si>
    <t>Tax rate</t>
  </si>
  <si>
    <t>Revenue y/y</t>
  </si>
  <si>
    <t>Q121</t>
  </si>
  <si>
    <t>Q222</t>
  </si>
  <si>
    <t>Q322</t>
  </si>
  <si>
    <t>Q221</t>
  </si>
  <si>
    <t>Q321</t>
  </si>
  <si>
    <t>Q421</t>
  </si>
  <si>
    <t>Q122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</si>
  <si>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</si>
  <si>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</si>
  <si>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</si>
  <si>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</si>
  <si>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</si>
  <si>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</si>
  <si>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</si>
  <si>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</si>
  <si>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</si>
  <si>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Price</t>
  </si>
  <si>
    <t>MC</t>
  </si>
  <si>
    <t>Cash</t>
  </si>
  <si>
    <t>Debt</t>
  </si>
  <si>
    <t>EV</t>
  </si>
  <si>
    <t>Premiums</t>
  </si>
  <si>
    <t>Products</t>
  </si>
  <si>
    <t>Services</t>
  </si>
  <si>
    <t>Investment</t>
  </si>
  <si>
    <t>Medical</t>
  </si>
  <si>
    <t>Operating</t>
  </si>
  <si>
    <t>COPS</t>
  </si>
  <si>
    <t>OpEx</t>
  </si>
  <si>
    <t>OpIn</t>
  </si>
  <si>
    <t>Interest</t>
  </si>
  <si>
    <t>Q125</t>
  </si>
  <si>
    <t>Q225</t>
  </si>
  <si>
    <t>Q325</t>
  </si>
  <si>
    <t>Q425</t>
  </si>
  <si>
    <t>Net cash</t>
  </si>
  <si>
    <t>AR</t>
  </si>
  <si>
    <t>Other</t>
  </si>
  <si>
    <t>Assets</t>
  </si>
  <si>
    <t>AP</t>
  </si>
  <si>
    <t>NCI</t>
  </si>
  <si>
    <t>Liabilties</t>
  </si>
  <si>
    <t>S/E</t>
  </si>
  <si>
    <t>L+S/E</t>
  </si>
  <si>
    <t>TTM NI</t>
  </si>
  <si>
    <t>ROTA</t>
  </si>
  <si>
    <t>Model NI</t>
  </si>
  <si>
    <t>Reported NI</t>
  </si>
  <si>
    <t>D&amp;A</t>
  </si>
  <si>
    <t>DT</t>
  </si>
  <si>
    <t>SBC</t>
  </si>
  <si>
    <t>Subsidiary sales</t>
  </si>
  <si>
    <t>WC</t>
  </si>
  <si>
    <t>CFFO</t>
  </si>
  <si>
    <t>Investments</t>
  </si>
  <si>
    <t>PP&amp;E</t>
  </si>
  <si>
    <t>Acquisitions</t>
  </si>
  <si>
    <t>Loans</t>
  </si>
  <si>
    <t>CFFI</t>
  </si>
  <si>
    <t>Buybacks</t>
  </si>
  <si>
    <t>Dividends</t>
  </si>
  <si>
    <t>CFFF</t>
  </si>
  <si>
    <t>FX</t>
  </si>
  <si>
    <t>CIC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</si>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</sst>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x"/>
    <numFmt numFmtId="165" formatCode="d/mm/yy;@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3" fontId="1" fillId="0" borderId="0" xfId="0" applyNumberFormat="1" applyFont="1"/>
    <xf numFmtId="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9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18</xdr:col>
      <xdr:colOff>0</xdr:colOff>
      <xdr:row>73</xdr:row>
      <xdr:rowOff>142875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3ED2E66-6A90-83CB-A0C4-6356021C6D0D}"/>
            </a:ext>
          </a:extLst>
        </xdr:cNvPr>
        <xdr:cNvCxnSpPr/>
      </xdr:nvCxnSpPr>
      <xdr:spPr>
        <a:xfrm>
          <a:off x="11477625" y="0"/>
          <a:ext cx="0" cy="1196340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</xdr:colOff>
      <xdr:row>0</xdr:row>
      <xdr:rowOff>19050</xdr:rowOff>
    </xdr:from>
    <xdr:to>
      <xdr:col>33</xdr:col>
      <xdr:colOff>19050</xdr:colOff>
      <xdr:row>73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F368B95-DC75-4058-846A-B27301877B4E}"/>
            </a:ext>
          </a:extLst>
        </xdr:cNvPr>
        <xdr:cNvCxnSpPr/>
      </xdr:nvCxnSpPr>
      <xdr:spPr>
        <a:xfrm>
          <a:off x="20640675" y="19050"/>
          <a:ext cx="0" cy="11801475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032B-EE21-49AE-A167-E8259E72F4EC}">
  <dimension ref="K3:M10"/>
  <sheetViews>
    <sheetView tabSelected="1" workbookViewId="0">
      <selection activeCell="G29" sqref="G29"/>
    </sheetView>
  </sheetViews>
  <sheetFormatPr defaultRowHeight="12.75" x14ac:dyDescent="0.2"/>
  <sheetData>
    <row r="3" spans="11:13" x14ac:dyDescent="0.2">
      <c r="K3" t="s">
        <v>26</v>
      </c>
      <c r="L3" s="4">
        <v>466</v>
      </c>
    </row>
    <row r="4" spans="11:13" x14ac:dyDescent="0.2">
      <c r="K4" t="s">
        <v>5</v>
      </c>
      <c r="L4" s="1">
        <v>918</v>
      </c>
      <c r="M4" s="5" t="s">
        <v>25</v>
      </c>
    </row>
    <row r="5" spans="11:13" x14ac:dyDescent="0.2">
      <c r="K5" t="s">
        <v>27</v>
      </c>
      <c r="L5" s="1">
        <f>+L3*L4</f>
        <v>427788</v>
      </c>
      <c r="M5" s="5"/>
    </row>
    <row r="6" spans="11:13" x14ac:dyDescent="0.2">
      <c r="K6" t="s">
        <v>28</v>
      </c>
      <c r="L6" s="1">
        <f>+Model!R27</f>
        <v>86154</v>
      </c>
      <c r="M6" s="5" t="s">
        <v>25</v>
      </c>
    </row>
    <row r="7" spans="11:13" x14ac:dyDescent="0.2">
      <c r="K7" t="s">
        <v>29</v>
      </c>
      <c r="L7" s="1">
        <f>+Model!R32</f>
        <v>81271</v>
      </c>
      <c r="M7" s="5" t="s">
        <v>25</v>
      </c>
    </row>
    <row r="8" spans="11:13" x14ac:dyDescent="0.2">
      <c r="K8" t="s">
        <v>30</v>
      </c>
      <c r="L8" s="1">
        <f>+L5-L6+L7</f>
        <v>422905</v>
      </c>
    </row>
    <row r="9" spans="11:13" x14ac:dyDescent="0.2">
      <c r="L9" s="1">
        <f>+SUM(Model!O16:R16)</f>
        <v>28339</v>
      </c>
    </row>
    <row r="10" spans="11:13" x14ac:dyDescent="0.2">
      <c r="L10" s="8">
        <f>+L8/L9</f>
        <v>14.923074208687675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C1E9-623A-4E93-97F0-1605A8B1E94C}">
  <dimension ref="A1:AQ66"/>
  <sheetViews>
    <sheetView zoomScaleNormal="100"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S72" sqref="S72"/>
    </sheetView>
  </sheetViews>
  <sheetFormatPr defaultRowHeight="12.75" x14ac:dyDescent="0.2"/>
  <cols>
    <col min="1" max="1" width="16.7109375" style="1" bestFit="1" customWidth="1"/>
    <col min="2" max="16384" width="9.140625" style="1"/>
  </cols>
  <sheetData>
    <row r="1" spans="1:43" s="9" customFormat="1" x14ac:dyDescent="0.2">
      <c r="B1" s="9">
        <v>45382</v>
      </c>
      <c r="C1" s="9">
        <v>45473</v>
      </c>
      <c r="D1" s="9">
        <v>45565</v>
      </c>
      <c r="E1" s="9">
        <v>45657</v>
      </c>
      <c r="F1" s="9">
        <v>45382</v>
      </c>
      <c r="G1" s="9">
        <v>45473</v>
      </c>
      <c r="H1" s="9">
        <v>45565</v>
      </c>
      <c r="I1" s="9">
        <v>45657</v>
      </c>
      <c r="J1" s="9">
        <v>45382</v>
      </c>
      <c r="K1" s="9">
        <v>45473</v>
      </c>
      <c r="L1" s="9">
        <v>45565</v>
      </c>
      <c r="M1" s="9">
        <v>45657</v>
      </c>
      <c r="N1" s="9">
        <v>45382</v>
      </c>
      <c r="O1" s="9">
        <v>45473</v>
      </c>
      <c r="P1" s="9">
        <v>45565</v>
      </c>
      <c r="Q1" s="9">
        <v>45657</v>
      </c>
      <c r="R1" s="9">
        <v>45747</v>
      </c>
    </row>
    <row r="2" spans="1:43" x14ac:dyDescent="0.2">
      <c r="A2" s="2"/>
      <c r="B2" s="2" t="s">
        <v>10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11</v>
      </c>
      <c r="H2" s="2" t="s">
        <v>12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41</v>
      </c>
      <c r="S2" s="2" t="s">
        <v>42</v>
      </c>
      <c r="T2" s="2" t="s">
        <v>43</v>
      </c>
      <c r="U2" s="2" t="s">
        <v>44</v>
      </c>
      <c r="W2">
        <v>2014</v>
      </c>
      <c r="X2">
        <f>+W2+1</f>
        <v>2015</v>
      </c>
      <c r="Y2">
        <f t="shared" ref="Y2:AQ2" si="0">+X2+1</f>
        <v>2016</v>
      </c>
      <c r="Z2">
        <f t="shared" si="0"/>
        <v>2017</v>
      </c>
      <c r="AA2">
        <f t="shared" si="0"/>
        <v>2018</v>
      </c>
      <c r="AB2">
        <f t="shared" si="0"/>
        <v>2019</v>
      </c>
      <c r="AC2">
        <f t="shared" si="0"/>
        <v>2020</v>
      </c>
      <c r="AD2">
        <f t="shared" si="0"/>
        <v>2021</v>
      </c>
      <c r="AE2">
        <f t="shared" si="0"/>
        <v>2022</v>
      </c>
      <c r="AF2">
        <f t="shared" si="0"/>
        <v>2023</v>
      </c>
      <c r="AG2">
        <f t="shared" si="0"/>
        <v>2024</v>
      </c>
      <c r="AH2">
        <f t="shared" si="0"/>
        <v>2025</v>
      </c>
      <c r="AI2">
        <f t="shared" si="0"/>
        <v>2026</v>
      </c>
      <c r="AJ2">
        <f t="shared" si="0"/>
        <v>2027</v>
      </c>
      <c r="AK2">
        <f t="shared" si="0"/>
        <v>2028</v>
      </c>
      <c r="AL2">
        <f t="shared" si="0"/>
        <v>2029</v>
      </c>
      <c r="AM2">
        <f t="shared" si="0"/>
        <v>2030</v>
      </c>
      <c r="AN2">
        <f t="shared" si="0"/>
        <v>2031</v>
      </c>
      <c r="AO2">
        <f t="shared" si="0"/>
        <v>2032</v>
      </c>
      <c r="AP2">
        <f t="shared" si="0"/>
        <v>2033</v>
      </c>
      <c r="AQ2">
        <f t="shared" si="0"/>
        <v>2034</v>
      </c>
    </row>
    <row r="3" spans="1:43" x14ac:dyDescent="0.2">
      <c r="A3" s="1" t="s">
        <v>31</v>
      </c>
      <c r="B3" s="1">
        <v>55486</v>
      </c>
      <c r="C3" s="1">
        <v>56233</v>
      </c>
      <c r="D3" s="1">
        <v>56967</v>
      </c>
      <c r="E3" s="1">
        <f>+AD3-SUM(B3:D3)</f>
        <v>57547</v>
      </c>
      <c r="F3" s="1">
        <v>64070</v>
      </c>
      <c r="G3" s="1">
        <v>63896</v>
      </c>
      <c r="H3" s="1">
        <v>64491</v>
      </c>
      <c r="I3" s="1">
        <f>+AE3-SUM(F3:H3)</f>
        <v>64700</v>
      </c>
      <c r="J3" s="1">
        <v>72786</v>
      </c>
      <c r="K3" s="1">
        <v>72474</v>
      </c>
      <c r="L3" s="1">
        <v>72339</v>
      </c>
      <c r="M3" s="1">
        <f>+AF3-SUM(J3:L3)</f>
        <v>73228</v>
      </c>
      <c r="N3" s="1">
        <v>77988</v>
      </c>
      <c r="O3" s="1">
        <v>76897</v>
      </c>
      <c r="P3" s="1">
        <v>77442</v>
      </c>
      <c r="Q3" s="1">
        <f>+AG3-SUM(N3:P3)</f>
        <v>76483</v>
      </c>
      <c r="R3" s="1">
        <v>86534</v>
      </c>
      <c r="W3"/>
      <c r="X3"/>
      <c r="Y3"/>
      <c r="Z3"/>
      <c r="AA3"/>
      <c r="AB3"/>
      <c r="AC3"/>
      <c r="AD3" s="1">
        <v>226233</v>
      </c>
      <c r="AE3" s="1">
        <v>257157</v>
      </c>
      <c r="AF3" s="1">
        <v>290827</v>
      </c>
      <c r="AG3" s="1">
        <v>308810</v>
      </c>
      <c r="AH3"/>
      <c r="AI3"/>
      <c r="AJ3"/>
      <c r="AK3"/>
      <c r="AL3"/>
      <c r="AM3"/>
      <c r="AN3"/>
      <c r="AO3"/>
      <c r="AP3"/>
      <c r="AQ3"/>
    </row>
    <row r="4" spans="1:43" x14ac:dyDescent="0.2">
      <c r="A4" s="1" t="s">
        <v>32</v>
      </c>
      <c r="B4" s="1">
        <v>8340</v>
      </c>
      <c r="C4" s="1">
        <v>8433</v>
      </c>
      <c r="D4" s="1">
        <v>8703</v>
      </c>
      <c r="E4" s="1">
        <f>+AD4-SUM(B4:D4)</f>
        <v>8961</v>
      </c>
      <c r="F4" s="1">
        <v>9340</v>
      </c>
      <c r="G4" s="1">
        <v>9496</v>
      </c>
      <c r="H4" s="1">
        <v>9190</v>
      </c>
      <c r="I4" s="1">
        <f>+AE4-SUM(F4:H4)</f>
        <v>9398</v>
      </c>
      <c r="J4" s="1">
        <v>10267</v>
      </c>
      <c r="K4" s="1">
        <v>10651</v>
      </c>
      <c r="L4" s="1">
        <v>10354</v>
      </c>
      <c r="M4" s="1">
        <f t="shared" ref="M4:M10" si="1">+AF4-SUM(J4:L4)</f>
        <v>11311</v>
      </c>
      <c r="N4" s="1">
        <v>11909</v>
      </c>
      <c r="O4" s="1">
        <v>12211</v>
      </c>
      <c r="P4" s="1">
        <v>12631</v>
      </c>
      <c r="Q4" s="1">
        <f t="shared" ref="Q4:Q10" si="2">+AG4-SUM(N4:P4)</f>
        <v>13475</v>
      </c>
      <c r="R4" s="1">
        <v>13036</v>
      </c>
      <c r="W4"/>
      <c r="X4"/>
      <c r="Y4"/>
      <c r="Z4"/>
      <c r="AA4"/>
      <c r="AB4"/>
      <c r="AC4"/>
      <c r="AD4" s="1">
        <v>34437</v>
      </c>
      <c r="AE4" s="1">
        <v>37424</v>
      </c>
      <c r="AF4" s="1">
        <v>42583</v>
      </c>
      <c r="AG4" s="1">
        <v>50226</v>
      </c>
      <c r="AH4"/>
      <c r="AI4"/>
      <c r="AJ4"/>
      <c r="AK4"/>
      <c r="AL4"/>
      <c r="AM4"/>
      <c r="AN4"/>
      <c r="AO4"/>
      <c r="AP4"/>
      <c r="AQ4"/>
    </row>
    <row r="5" spans="1:43" x14ac:dyDescent="0.2">
      <c r="A5" s="1" t="s">
        <v>33</v>
      </c>
      <c r="B5" s="1">
        <v>5918</v>
      </c>
      <c r="C5" s="1">
        <v>6099</v>
      </c>
      <c r="D5" s="1">
        <v>6164</v>
      </c>
      <c r="E5" s="1">
        <f t="shared" ref="E5:E10" si="3">+AD5-SUM(B5:D5)</f>
        <v>6422</v>
      </c>
      <c r="F5" s="1">
        <v>6372</v>
      </c>
      <c r="G5" s="1">
        <v>6645</v>
      </c>
      <c r="H5" s="1">
        <v>6700</v>
      </c>
      <c r="I5" s="1">
        <f>+AE5-SUM(F5:H5)</f>
        <v>7834</v>
      </c>
      <c r="J5" s="1">
        <v>8080</v>
      </c>
      <c r="K5" s="1">
        <v>8663</v>
      </c>
      <c r="L5" s="1">
        <v>8671</v>
      </c>
      <c r="M5" s="1">
        <f t="shared" si="1"/>
        <v>8709</v>
      </c>
      <c r="N5" s="1">
        <v>8888</v>
      </c>
      <c r="O5" s="1">
        <v>8750</v>
      </c>
      <c r="P5" s="1">
        <v>9104</v>
      </c>
      <c r="Q5" s="1">
        <f t="shared" si="2"/>
        <v>9298</v>
      </c>
      <c r="R5" s="1">
        <v>8972</v>
      </c>
      <c r="W5"/>
      <c r="X5"/>
      <c r="Y5"/>
      <c r="Z5"/>
      <c r="AA5"/>
      <c r="AB5"/>
      <c r="AC5"/>
      <c r="AD5" s="1">
        <v>24603</v>
      </c>
      <c r="AE5" s="1">
        <v>27551</v>
      </c>
      <c r="AF5" s="1">
        <v>34123</v>
      </c>
      <c r="AG5" s="1">
        <v>36040</v>
      </c>
      <c r="AH5"/>
      <c r="AI5"/>
      <c r="AJ5"/>
      <c r="AK5"/>
      <c r="AL5"/>
      <c r="AM5"/>
      <c r="AN5"/>
      <c r="AO5"/>
      <c r="AP5"/>
      <c r="AQ5"/>
    </row>
    <row r="6" spans="1:43" x14ac:dyDescent="0.2">
      <c r="A6" s="1" t="s">
        <v>34</v>
      </c>
      <c r="B6" s="1">
        <v>452</v>
      </c>
      <c r="C6" s="1">
        <v>556</v>
      </c>
      <c r="D6" s="1">
        <v>503</v>
      </c>
      <c r="E6" s="1">
        <f t="shared" si="3"/>
        <v>813</v>
      </c>
      <c r="F6" s="1">
        <v>367</v>
      </c>
      <c r="G6" s="1">
        <v>295</v>
      </c>
      <c r="H6" s="1">
        <v>513</v>
      </c>
      <c r="I6" s="1">
        <f>+AE6-SUM(F6:H6)</f>
        <v>855</v>
      </c>
      <c r="J6" s="1">
        <v>798</v>
      </c>
      <c r="K6" s="1">
        <v>1115</v>
      </c>
      <c r="L6" s="1">
        <v>997</v>
      </c>
      <c r="M6" s="1">
        <f t="shared" si="1"/>
        <v>1179</v>
      </c>
      <c r="N6" s="1">
        <v>1011</v>
      </c>
      <c r="O6" s="1">
        <v>997</v>
      </c>
      <c r="P6" s="1">
        <v>1643</v>
      </c>
      <c r="Q6" s="1">
        <f t="shared" si="2"/>
        <v>1551</v>
      </c>
      <c r="R6" s="1">
        <v>1033</v>
      </c>
      <c r="W6"/>
      <c r="X6"/>
      <c r="Y6"/>
      <c r="Z6"/>
      <c r="AA6"/>
      <c r="AB6"/>
      <c r="AC6"/>
      <c r="AD6" s="1">
        <v>2324</v>
      </c>
      <c r="AE6" s="1">
        <v>2030</v>
      </c>
      <c r="AF6" s="1">
        <v>4089</v>
      </c>
      <c r="AG6" s="1">
        <v>5202</v>
      </c>
      <c r="AH6"/>
      <c r="AI6"/>
      <c r="AJ6"/>
      <c r="AK6"/>
      <c r="AL6"/>
      <c r="AM6"/>
      <c r="AN6"/>
      <c r="AO6"/>
      <c r="AP6"/>
      <c r="AQ6"/>
    </row>
    <row r="7" spans="1:43" s="6" customFormat="1" x14ac:dyDescent="0.2">
      <c r="A7" s="6" t="s">
        <v>0</v>
      </c>
      <c r="B7" s="6">
        <f t="shared" ref="B7:Q7" si="4">+SUM(B3:B6)</f>
        <v>70196</v>
      </c>
      <c r="C7" s="6">
        <f t="shared" si="4"/>
        <v>71321</v>
      </c>
      <c r="D7" s="6">
        <f t="shared" si="4"/>
        <v>72337</v>
      </c>
      <c r="E7" s="6">
        <f t="shared" si="4"/>
        <v>73743</v>
      </c>
      <c r="F7" s="6">
        <f t="shared" si="4"/>
        <v>80149</v>
      </c>
      <c r="G7" s="6">
        <f t="shared" si="4"/>
        <v>80332</v>
      </c>
      <c r="H7" s="6">
        <f t="shared" si="4"/>
        <v>80894</v>
      </c>
      <c r="I7" s="6">
        <f t="shared" si="4"/>
        <v>82787</v>
      </c>
      <c r="J7" s="6">
        <f t="shared" si="4"/>
        <v>91931</v>
      </c>
      <c r="K7" s="6">
        <f t="shared" si="4"/>
        <v>92903</v>
      </c>
      <c r="L7" s="6">
        <f t="shared" si="4"/>
        <v>92361</v>
      </c>
      <c r="M7" s="6">
        <f t="shared" si="4"/>
        <v>94427</v>
      </c>
      <c r="N7" s="6">
        <f t="shared" si="4"/>
        <v>99796</v>
      </c>
      <c r="O7" s="6">
        <f t="shared" si="4"/>
        <v>98855</v>
      </c>
      <c r="P7" s="6">
        <f t="shared" si="4"/>
        <v>100820</v>
      </c>
      <c r="Q7" s="6">
        <f t="shared" si="4"/>
        <v>100807</v>
      </c>
      <c r="R7" s="6">
        <f t="shared" ref="R7" si="5">+SUM(R3:R6)</f>
        <v>109575</v>
      </c>
      <c r="AD7" s="6">
        <f>+SUM(AD3:AD6)</f>
        <v>287597</v>
      </c>
      <c r="AE7" s="6">
        <f>+SUM(AE3:AE6)</f>
        <v>324162</v>
      </c>
      <c r="AF7" s="6">
        <f>+SUM(AF3:AF6)</f>
        <v>371622</v>
      </c>
      <c r="AG7" s="6">
        <f>+SUM(AG3:AG6)</f>
        <v>400278</v>
      </c>
    </row>
    <row r="8" spans="1:43" x14ac:dyDescent="0.2">
      <c r="A8" s="1" t="s">
        <v>35</v>
      </c>
      <c r="B8" s="1">
        <v>44904</v>
      </c>
      <c r="C8" s="1">
        <v>46546</v>
      </c>
      <c r="D8" s="1">
        <v>47302</v>
      </c>
      <c r="E8" s="1">
        <f t="shared" si="3"/>
        <v>48159</v>
      </c>
      <c r="F8" s="1">
        <v>52523</v>
      </c>
      <c r="G8" s="1">
        <v>52093</v>
      </c>
      <c r="H8" s="1">
        <v>52635</v>
      </c>
      <c r="I8" s="1">
        <f t="shared" ref="I8:I10" si="6">+AE8-SUM(F8:H8)</f>
        <v>53591</v>
      </c>
      <c r="J8" s="1">
        <v>59845</v>
      </c>
      <c r="K8" s="1">
        <v>60268</v>
      </c>
      <c r="L8" s="1">
        <v>59550</v>
      </c>
      <c r="M8" s="1">
        <f t="shared" si="1"/>
        <v>62231</v>
      </c>
      <c r="N8" s="1">
        <v>65735</v>
      </c>
      <c r="O8" s="1">
        <v>65458</v>
      </c>
      <c r="P8" s="1">
        <v>65957</v>
      </c>
      <c r="Q8" s="1">
        <f t="shared" si="2"/>
        <v>67035</v>
      </c>
      <c r="R8" s="1">
        <v>73411</v>
      </c>
      <c r="AD8" s="1">
        <v>186911</v>
      </c>
      <c r="AE8" s="1">
        <v>210842</v>
      </c>
      <c r="AF8" s="1">
        <v>241894</v>
      </c>
      <c r="AG8" s="1">
        <v>264185</v>
      </c>
    </row>
    <row r="9" spans="1:43" x14ac:dyDescent="0.2">
      <c r="A9" s="1" t="s">
        <v>36</v>
      </c>
      <c r="B9" s="1">
        <v>10223</v>
      </c>
      <c r="C9" s="1">
        <v>10359</v>
      </c>
      <c r="D9" s="1">
        <v>10725</v>
      </c>
      <c r="E9" s="1">
        <f t="shared" si="3"/>
        <v>11272</v>
      </c>
      <c r="F9" s="1">
        <v>11401</v>
      </c>
      <c r="G9" s="1">
        <v>11709</v>
      </c>
      <c r="H9" s="1">
        <v>11663</v>
      </c>
      <c r="I9" s="1">
        <f t="shared" si="6"/>
        <v>13009</v>
      </c>
      <c r="J9" s="1">
        <v>13625</v>
      </c>
      <c r="K9" s="1">
        <v>13809</v>
      </c>
      <c r="L9" s="1">
        <v>13855</v>
      </c>
      <c r="M9" s="1">
        <f t="shared" si="1"/>
        <v>13339</v>
      </c>
      <c r="N9" s="1">
        <v>14077</v>
      </c>
      <c r="O9" s="1">
        <v>13162</v>
      </c>
      <c r="P9" s="1">
        <v>13280</v>
      </c>
      <c r="Q9" s="1">
        <f t="shared" si="2"/>
        <v>12494</v>
      </c>
      <c r="R9" s="1">
        <v>13594</v>
      </c>
      <c r="AD9" s="1">
        <v>42579</v>
      </c>
      <c r="AE9" s="1">
        <v>47782</v>
      </c>
      <c r="AF9" s="1">
        <v>54628</v>
      </c>
      <c r="AG9" s="1">
        <v>53013</v>
      </c>
    </row>
    <row r="10" spans="1:43" x14ac:dyDescent="0.2">
      <c r="A10" s="1" t="s">
        <v>37</v>
      </c>
      <c r="B10" s="1">
        <v>7572</v>
      </c>
      <c r="C10" s="1">
        <v>7660</v>
      </c>
      <c r="D10" s="1">
        <v>7802</v>
      </c>
      <c r="E10" s="1">
        <f t="shared" si="3"/>
        <v>8000</v>
      </c>
      <c r="F10" s="1">
        <v>8487</v>
      </c>
      <c r="G10" s="1">
        <v>8596</v>
      </c>
      <c r="H10" s="1">
        <v>8306</v>
      </c>
      <c r="I10" s="1">
        <f t="shared" si="6"/>
        <v>8314</v>
      </c>
      <c r="J10" s="1">
        <v>9405</v>
      </c>
      <c r="K10" s="1">
        <v>9748</v>
      </c>
      <c r="L10" s="1">
        <v>9423</v>
      </c>
      <c r="M10" s="1">
        <f t="shared" si="1"/>
        <v>10194</v>
      </c>
      <c r="N10" s="1">
        <v>11056</v>
      </c>
      <c r="O10" s="1">
        <v>11340</v>
      </c>
      <c r="P10" s="1">
        <v>11834</v>
      </c>
      <c r="Q10" s="1">
        <f t="shared" si="2"/>
        <v>12464</v>
      </c>
      <c r="R10" s="1">
        <v>12390</v>
      </c>
      <c r="AD10" s="1">
        <v>31034</v>
      </c>
      <c r="AE10" s="1">
        <v>33703</v>
      </c>
      <c r="AF10" s="1">
        <v>38770</v>
      </c>
      <c r="AG10" s="1">
        <v>46694</v>
      </c>
    </row>
    <row r="11" spans="1:43" x14ac:dyDescent="0.2">
      <c r="A11" s="1" t="s">
        <v>38</v>
      </c>
      <c r="B11" s="1">
        <f t="shared" ref="B11:Q11" si="7">+SUM(B8:B10)</f>
        <v>62699</v>
      </c>
      <c r="C11" s="1">
        <f t="shared" si="7"/>
        <v>64565</v>
      </c>
      <c r="D11" s="1">
        <f t="shared" si="7"/>
        <v>65829</v>
      </c>
      <c r="E11" s="1">
        <f t="shared" si="7"/>
        <v>67431</v>
      </c>
      <c r="F11" s="1">
        <f t="shared" si="7"/>
        <v>72411</v>
      </c>
      <c r="G11" s="1">
        <f t="shared" si="7"/>
        <v>72398</v>
      </c>
      <c r="H11" s="1">
        <f t="shared" si="7"/>
        <v>72604</v>
      </c>
      <c r="I11" s="1">
        <f t="shared" si="7"/>
        <v>74914</v>
      </c>
      <c r="J11" s="1">
        <f t="shared" si="7"/>
        <v>82875</v>
      </c>
      <c r="K11" s="1">
        <f t="shared" si="7"/>
        <v>83825</v>
      </c>
      <c r="L11" s="1">
        <f t="shared" si="7"/>
        <v>82828</v>
      </c>
      <c r="M11" s="1">
        <f t="shared" si="7"/>
        <v>85764</v>
      </c>
      <c r="N11" s="1">
        <f t="shared" si="7"/>
        <v>90868</v>
      </c>
      <c r="O11" s="1">
        <f t="shared" si="7"/>
        <v>89960</v>
      </c>
      <c r="P11" s="1">
        <f t="shared" si="7"/>
        <v>91071</v>
      </c>
      <c r="Q11" s="1">
        <f t="shared" si="7"/>
        <v>91993</v>
      </c>
      <c r="R11" s="1">
        <f t="shared" ref="R11" si="8">+SUM(R8:R10)</f>
        <v>99395</v>
      </c>
      <c r="AD11" s="1">
        <f>+SUM(AD8:AD10)</f>
        <v>260524</v>
      </c>
      <c r="AE11" s="1">
        <f>+SUM(AE8:AE10)</f>
        <v>292327</v>
      </c>
      <c r="AF11" s="1">
        <f>+SUM(AF8:AF10)</f>
        <v>335292</v>
      </c>
      <c r="AG11" s="1">
        <f>+SUM(AG8:AG10)</f>
        <v>363892</v>
      </c>
    </row>
    <row r="12" spans="1:43" s="6" customFormat="1" x14ac:dyDescent="0.2">
      <c r="A12" s="6" t="s">
        <v>39</v>
      </c>
      <c r="B12" s="6">
        <f t="shared" ref="B12:Q12" si="9">+B7-B11</f>
        <v>7497</v>
      </c>
      <c r="C12" s="6">
        <f t="shared" si="9"/>
        <v>6756</v>
      </c>
      <c r="D12" s="6">
        <f t="shared" si="9"/>
        <v>6508</v>
      </c>
      <c r="E12" s="6">
        <f t="shared" si="9"/>
        <v>6312</v>
      </c>
      <c r="F12" s="6">
        <f t="shared" si="9"/>
        <v>7738</v>
      </c>
      <c r="G12" s="6">
        <f t="shared" si="9"/>
        <v>7934</v>
      </c>
      <c r="H12" s="6">
        <f t="shared" si="9"/>
        <v>8290</v>
      </c>
      <c r="I12" s="6">
        <f t="shared" si="9"/>
        <v>7873</v>
      </c>
      <c r="J12" s="6">
        <f t="shared" si="9"/>
        <v>9056</v>
      </c>
      <c r="K12" s="6">
        <f t="shared" si="9"/>
        <v>9078</v>
      </c>
      <c r="L12" s="6">
        <f t="shared" si="9"/>
        <v>9533</v>
      </c>
      <c r="M12" s="6">
        <f t="shared" si="9"/>
        <v>8663</v>
      </c>
      <c r="N12" s="6">
        <f t="shared" si="9"/>
        <v>8928</v>
      </c>
      <c r="O12" s="6">
        <f t="shared" si="9"/>
        <v>8895</v>
      </c>
      <c r="P12" s="6">
        <f t="shared" si="9"/>
        <v>9749</v>
      </c>
      <c r="Q12" s="6">
        <f t="shared" si="9"/>
        <v>8814</v>
      </c>
      <c r="R12" s="6">
        <f t="shared" ref="R12" si="10">+R7-R11</f>
        <v>10180</v>
      </c>
      <c r="AD12" s="6">
        <f>+AD7-AD11</f>
        <v>27073</v>
      </c>
      <c r="AE12" s="6">
        <f>+AE7-AE11</f>
        <v>31835</v>
      </c>
      <c r="AF12" s="6">
        <f>+AF7-AF11</f>
        <v>36330</v>
      </c>
      <c r="AG12" s="6">
        <f>+AG7-AG11</f>
        <v>36386</v>
      </c>
    </row>
    <row r="13" spans="1:43" x14ac:dyDescent="0.2">
      <c r="A13" s="1" t="s">
        <v>40</v>
      </c>
      <c r="B13" s="1">
        <v>-397</v>
      </c>
      <c r="C13" s="1">
        <v>-410</v>
      </c>
      <c r="D13" s="1">
        <v>-422</v>
      </c>
      <c r="E13" s="1">
        <f>+AD13-SUM(B13:D13)</f>
        <v>-431</v>
      </c>
      <c r="F13" s="1">
        <v>-433</v>
      </c>
      <c r="G13" s="1">
        <v>-467</v>
      </c>
      <c r="H13" s="1">
        <v>-516</v>
      </c>
      <c r="I13" s="1">
        <f t="shared" ref="I13:I15" si="11">+AE13-SUM(F13:H13)</f>
        <v>-676</v>
      </c>
      <c r="J13" s="1">
        <v>-754</v>
      </c>
      <c r="K13" s="1">
        <v>-828</v>
      </c>
      <c r="L13" s="1">
        <v>-834</v>
      </c>
      <c r="M13" s="1">
        <f t="shared" ref="M13:M15" si="12">+AF13-SUM(J13:L13)</f>
        <v>-830</v>
      </c>
      <c r="N13" s="1">
        <v>-844</v>
      </c>
      <c r="O13" s="1">
        <v>-985</v>
      </c>
      <c r="P13" s="1">
        <v>-1074</v>
      </c>
      <c r="Q13" s="1">
        <f t="shared" ref="Q13:Q15" si="13">+AG13-SUM(N13:P13)</f>
        <v>-1003</v>
      </c>
      <c r="R13" s="1">
        <v>-998</v>
      </c>
      <c r="AD13" s="1">
        <v>-1660</v>
      </c>
      <c r="AE13" s="1">
        <v>-2092</v>
      </c>
      <c r="AF13" s="1">
        <v>-3246</v>
      </c>
      <c r="AG13" s="1">
        <v>-3906</v>
      </c>
    </row>
    <row r="14" spans="1:43" x14ac:dyDescent="0.2">
      <c r="A14" s="1" t="s">
        <v>1</v>
      </c>
      <c r="B14" s="1">
        <f t="shared" ref="B14:Q14" si="14">+B12+B13</f>
        <v>7100</v>
      </c>
      <c r="C14" s="1">
        <f t="shared" si="14"/>
        <v>6346</v>
      </c>
      <c r="D14" s="1">
        <f t="shared" si="14"/>
        <v>6086</v>
      </c>
      <c r="E14" s="1">
        <f t="shared" si="14"/>
        <v>5881</v>
      </c>
      <c r="F14" s="1">
        <f t="shared" si="14"/>
        <v>7305</v>
      </c>
      <c r="G14" s="1">
        <f t="shared" si="14"/>
        <v>7467</v>
      </c>
      <c r="H14" s="1">
        <f t="shared" si="14"/>
        <v>7774</v>
      </c>
      <c r="I14" s="1">
        <f t="shared" si="14"/>
        <v>7197</v>
      </c>
      <c r="J14" s="1">
        <f t="shared" si="14"/>
        <v>8302</v>
      </c>
      <c r="K14" s="1">
        <f t="shared" si="14"/>
        <v>8250</v>
      </c>
      <c r="L14" s="1">
        <f t="shared" si="14"/>
        <v>8699</v>
      </c>
      <c r="M14" s="1">
        <f t="shared" si="14"/>
        <v>7833</v>
      </c>
      <c r="N14" s="1">
        <f t="shared" si="14"/>
        <v>8084</v>
      </c>
      <c r="O14" s="1">
        <f t="shared" si="14"/>
        <v>7910</v>
      </c>
      <c r="P14" s="1">
        <f t="shared" si="14"/>
        <v>8675</v>
      </c>
      <c r="Q14" s="1">
        <f t="shared" si="14"/>
        <v>7811</v>
      </c>
      <c r="R14" s="1">
        <f t="shared" ref="R14" si="15">+R12+R13</f>
        <v>9182</v>
      </c>
      <c r="AD14" s="1">
        <f>+AD12+AD13</f>
        <v>25413</v>
      </c>
      <c r="AE14" s="1">
        <f>+AE12+AE13</f>
        <v>29743</v>
      </c>
      <c r="AF14" s="1">
        <f>+AF12+AF13</f>
        <v>33084</v>
      </c>
      <c r="AG14" s="1">
        <f>+AG12+AG13</f>
        <v>32480</v>
      </c>
    </row>
    <row r="15" spans="1:43" x14ac:dyDescent="0.2">
      <c r="A15" s="1" t="s">
        <v>2</v>
      </c>
      <c r="B15" s="1">
        <v>1364</v>
      </c>
      <c r="C15" s="1">
        <v>1196</v>
      </c>
      <c r="D15" s="1">
        <v>5290</v>
      </c>
      <c r="E15" s="1">
        <f>+AD15-SUM(B15:D15)</f>
        <v>-3272</v>
      </c>
      <c r="F15" s="1">
        <v>1369</v>
      </c>
      <c r="G15" s="1">
        <v>1466</v>
      </c>
      <c r="H15" s="1">
        <v>1562</v>
      </c>
      <c r="I15" s="1">
        <f t="shared" si="11"/>
        <v>1307</v>
      </c>
      <c r="J15" s="1">
        <v>1558</v>
      </c>
      <c r="K15" s="1">
        <v>1572</v>
      </c>
      <c r="L15" s="1">
        <v>1654</v>
      </c>
      <c r="M15" s="1">
        <f t="shared" si="12"/>
        <v>1184</v>
      </c>
      <c r="N15" s="1">
        <v>1222</v>
      </c>
      <c r="O15" s="1">
        <v>1244</v>
      </c>
      <c r="P15" s="1">
        <v>1356</v>
      </c>
      <c r="Q15" s="1">
        <f t="shared" si="13"/>
        <v>1007</v>
      </c>
      <c r="R15" s="1">
        <v>1632</v>
      </c>
      <c r="AD15" s="1">
        <v>4578</v>
      </c>
      <c r="AE15" s="1">
        <v>5704</v>
      </c>
      <c r="AF15" s="1">
        <v>5968</v>
      </c>
      <c r="AG15" s="1">
        <v>4829</v>
      </c>
    </row>
    <row r="16" spans="1:43" s="6" customFormat="1" x14ac:dyDescent="0.2">
      <c r="A16" s="6" t="s">
        <v>3</v>
      </c>
      <c r="B16" s="6">
        <f t="shared" ref="B16:Q16" si="16">+B14-B15</f>
        <v>5736</v>
      </c>
      <c r="C16" s="6">
        <f t="shared" si="16"/>
        <v>5150</v>
      </c>
      <c r="D16" s="6">
        <f t="shared" si="16"/>
        <v>796</v>
      </c>
      <c r="E16" s="6">
        <f t="shared" si="16"/>
        <v>9153</v>
      </c>
      <c r="F16" s="6">
        <f t="shared" si="16"/>
        <v>5936</v>
      </c>
      <c r="G16" s="6">
        <f t="shared" si="16"/>
        <v>6001</v>
      </c>
      <c r="H16" s="6">
        <f t="shared" si="16"/>
        <v>6212</v>
      </c>
      <c r="I16" s="6">
        <f t="shared" si="16"/>
        <v>5890</v>
      </c>
      <c r="J16" s="6">
        <f t="shared" si="16"/>
        <v>6744</v>
      </c>
      <c r="K16" s="6">
        <f t="shared" si="16"/>
        <v>6678</v>
      </c>
      <c r="L16" s="6">
        <f t="shared" si="16"/>
        <v>7045</v>
      </c>
      <c r="M16" s="6">
        <f t="shared" si="16"/>
        <v>6649</v>
      </c>
      <c r="N16" s="6">
        <f t="shared" si="16"/>
        <v>6862</v>
      </c>
      <c r="O16" s="6">
        <f t="shared" si="16"/>
        <v>6666</v>
      </c>
      <c r="P16" s="6">
        <f t="shared" si="16"/>
        <v>7319</v>
      </c>
      <c r="Q16" s="6">
        <f t="shared" si="16"/>
        <v>6804</v>
      </c>
      <c r="R16" s="6">
        <f t="shared" ref="R16" si="17">+R14-R15</f>
        <v>7550</v>
      </c>
      <c r="AD16" s="6">
        <f>+AD14-AD15</f>
        <v>20835</v>
      </c>
      <c r="AE16" s="6">
        <f>+AE14-AE15</f>
        <v>24039</v>
      </c>
      <c r="AF16" s="6">
        <f>+AF14-AF15</f>
        <v>27116</v>
      </c>
      <c r="AG16" s="6">
        <f>+AG14-AG15</f>
        <v>27651</v>
      </c>
    </row>
    <row r="17" spans="1:33" s="4" customFormat="1" x14ac:dyDescent="0.2">
      <c r="A17" s="4" t="s">
        <v>4</v>
      </c>
      <c r="B17" s="4">
        <f t="shared" ref="B17:Q17" si="18">+B16/B18</f>
        <v>5.9937304075235112</v>
      </c>
      <c r="C17" s="4">
        <f t="shared" si="18"/>
        <v>5.3870292887029292</v>
      </c>
      <c r="D17" s="4">
        <f t="shared" si="18"/>
        <v>0.83350785340314137</v>
      </c>
      <c r="E17" s="4">
        <f t="shared" si="18"/>
        <v>9.5842931937172775</v>
      </c>
      <c r="F17" s="4">
        <f t="shared" si="18"/>
        <v>6.2222222222222223</v>
      </c>
      <c r="G17" s="4">
        <f t="shared" si="18"/>
        <v>6.3168421052631576</v>
      </c>
      <c r="H17" s="4">
        <f t="shared" si="18"/>
        <v>6.552742616033755</v>
      </c>
      <c r="I17" s="4">
        <f t="shared" si="18"/>
        <v>6.2262156448202957</v>
      </c>
      <c r="J17" s="4">
        <f t="shared" si="18"/>
        <v>7.151643690349947</v>
      </c>
      <c r="K17" s="4">
        <f t="shared" si="18"/>
        <v>7.1042553191489359</v>
      </c>
      <c r="L17" s="4">
        <f t="shared" si="18"/>
        <v>7.5267094017094021</v>
      </c>
      <c r="M17" s="4">
        <f t="shared" si="18"/>
        <v>7.1188436830835116</v>
      </c>
      <c r="N17" s="4">
        <f t="shared" si="18"/>
        <v>7.4425162689804774</v>
      </c>
      <c r="O17" s="4">
        <f t="shared" si="18"/>
        <v>7.1831896551724137</v>
      </c>
      <c r="P17" s="4">
        <f t="shared" si="18"/>
        <v>7.8698924731182798</v>
      </c>
      <c r="Q17" s="4">
        <f t="shared" si="18"/>
        <v>7.2692307692307692</v>
      </c>
      <c r="R17" s="4">
        <f t="shared" ref="R17" si="19">+R16/R18</f>
        <v>8.2244008714596948</v>
      </c>
      <c r="AD17" s="4">
        <f>+AD16/AD18</f>
        <v>21.793933054393307</v>
      </c>
      <c r="AE17" s="4">
        <f>+AE16/AE18</f>
        <v>25.304210526315789</v>
      </c>
      <c r="AF17" s="4">
        <f>+AF16/AF18</f>
        <v>28.908315565031984</v>
      </c>
      <c r="AG17" s="4">
        <f>+AG16/AG18</f>
        <v>29.764262648008611</v>
      </c>
    </row>
    <row r="18" spans="1:33" x14ac:dyDescent="0.2">
      <c r="A18" s="1" t="s">
        <v>5</v>
      </c>
      <c r="B18" s="1">
        <v>957</v>
      </c>
      <c r="C18" s="1">
        <v>956</v>
      </c>
      <c r="D18" s="1">
        <v>955</v>
      </c>
      <c r="E18" s="1">
        <v>955</v>
      </c>
      <c r="F18" s="1">
        <v>954</v>
      </c>
      <c r="G18" s="1">
        <v>950</v>
      </c>
      <c r="H18" s="1">
        <v>948</v>
      </c>
      <c r="I18" s="1">
        <v>946</v>
      </c>
      <c r="J18" s="1">
        <v>943</v>
      </c>
      <c r="K18" s="1">
        <v>940</v>
      </c>
      <c r="L18" s="1">
        <v>936</v>
      </c>
      <c r="M18" s="1">
        <v>934</v>
      </c>
      <c r="N18" s="1">
        <v>922</v>
      </c>
      <c r="O18" s="1">
        <v>928</v>
      </c>
      <c r="P18" s="1">
        <v>930</v>
      </c>
      <c r="Q18" s="1">
        <f>+(AG18*4)-SUM(N18:P18)</f>
        <v>936</v>
      </c>
      <c r="R18" s="1">
        <v>918</v>
      </c>
      <c r="AD18" s="1">
        <v>956</v>
      </c>
      <c r="AE18" s="1">
        <v>950</v>
      </c>
      <c r="AF18" s="1">
        <v>938</v>
      </c>
      <c r="AG18" s="1">
        <v>929</v>
      </c>
    </row>
    <row r="20" spans="1:33" s="3" customFormat="1" x14ac:dyDescent="0.2">
      <c r="A20" s="3" t="s">
        <v>6</v>
      </c>
      <c r="B20" s="3">
        <f t="shared" ref="B20:P20" si="20">+B12/B7</f>
        <v>0.10680095731950538</v>
      </c>
      <c r="C20" s="3">
        <f t="shared" si="20"/>
        <v>9.4726658347471293E-2</v>
      </c>
      <c r="D20" s="3">
        <f t="shared" si="20"/>
        <v>8.9967789651215838E-2</v>
      </c>
      <c r="E20" s="3">
        <f t="shared" si="20"/>
        <v>8.5594564907855664E-2</v>
      </c>
      <c r="F20" s="3">
        <f t="shared" si="20"/>
        <v>9.6545184593694239E-2</v>
      </c>
      <c r="G20" s="3">
        <f t="shared" si="20"/>
        <v>9.876512473236071E-2</v>
      </c>
      <c r="H20" s="3">
        <f t="shared" si="20"/>
        <v>0.10247978836502089</v>
      </c>
      <c r="I20" s="3">
        <f t="shared" si="20"/>
        <v>9.5099472139345553E-2</v>
      </c>
      <c r="J20" s="3">
        <f t="shared" si="20"/>
        <v>9.8508664106775737E-2</v>
      </c>
      <c r="K20" s="3">
        <f t="shared" si="20"/>
        <v>9.7714820834633967E-2</v>
      </c>
      <c r="L20" s="3">
        <f t="shared" si="20"/>
        <v>0.10321456025811761</v>
      </c>
      <c r="M20" s="3">
        <f t="shared" si="20"/>
        <v>9.1742827792898218E-2</v>
      </c>
      <c r="N20" s="3">
        <f t="shared" si="20"/>
        <v>8.9462503507154595E-2</v>
      </c>
      <c r="O20" s="3">
        <f t="shared" si="20"/>
        <v>8.9980274138890287E-2</v>
      </c>
      <c r="P20" s="3">
        <f t="shared" si="20"/>
        <v>9.6697083911922235E-2</v>
      </c>
      <c r="Q20" s="3">
        <f t="shared" ref="Q20:R20" si="21">+Q12/Q7</f>
        <v>8.7434404356840301E-2</v>
      </c>
      <c r="R20" s="3">
        <f t="shared" si="21"/>
        <v>9.290440337668264E-2</v>
      </c>
      <c r="AD20" s="3">
        <f>+AD12/AD7</f>
        <v>9.4135196125133436E-2</v>
      </c>
      <c r="AE20" s="3">
        <f>+AE12/AE7</f>
        <v>9.8207069304853747E-2</v>
      </c>
      <c r="AF20" s="3">
        <f>+AF12/AF7</f>
        <v>9.7760627734633579E-2</v>
      </c>
      <c r="AG20" s="3">
        <f>+AG12/AG7</f>
        <v>9.0901823232853174E-2</v>
      </c>
    </row>
    <row r="21" spans="1:33" s="3" customFormat="1" x14ac:dyDescent="0.2">
      <c r="A21" s="3" t="s">
        <v>7</v>
      </c>
      <c r="B21" s="3">
        <f t="shared" ref="B21:P21" si="22">+B16/B7</f>
        <v>8.1714057781070146E-2</v>
      </c>
      <c r="C21" s="3">
        <f t="shared" si="22"/>
        <v>7.2208746372036281E-2</v>
      </c>
      <c r="D21" s="3">
        <f t="shared" si="22"/>
        <v>1.1004050485920069E-2</v>
      </c>
      <c r="E21" s="3">
        <f t="shared" si="22"/>
        <v>0.12412025548187625</v>
      </c>
      <c r="F21" s="3">
        <f t="shared" si="22"/>
        <v>7.4062059414340783E-2</v>
      </c>
      <c r="G21" s="3">
        <f t="shared" si="22"/>
        <v>7.4702484688542542E-2</v>
      </c>
      <c r="H21" s="3">
        <f t="shared" si="22"/>
        <v>7.6791851064355821E-2</v>
      </c>
      <c r="I21" s="3">
        <f t="shared" si="22"/>
        <v>7.1146436034643115E-2</v>
      </c>
      <c r="J21" s="3">
        <f t="shared" si="22"/>
        <v>7.335936735160066E-2</v>
      </c>
      <c r="K21" s="3">
        <f t="shared" si="22"/>
        <v>7.1881424711796177E-2</v>
      </c>
      <c r="L21" s="3">
        <f t="shared" si="22"/>
        <v>7.6276783490867361E-2</v>
      </c>
      <c r="M21" s="3">
        <f t="shared" si="22"/>
        <v>7.0414182384275686E-2</v>
      </c>
      <c r="N21" s="3">
        <f t="shared" si="22"/>
        <v>6.8760270952743591E-2</v>
      </c>
      <c r="O21" s="3">
        <f t="shared" si="22"/>
        <v>6.7432097516564662E-2</v>
      </c>
      <c r="P21" s="3">
        <f t="shared" si="22"/>
        <v>7.2594723269192626E-2</v>
      </c>
      <c r="Q21" s="3">
        <f t="shared" ref="Q21:R21" si="23">+Q16/Q7</f>
        <v>6.7495312825498227E-2</v>
      </c>
      <c r="R21" s="3">
        <f t="shared" si="23"/>
        <v>6.890257814282455E-2</v>
      </c>
      <c r="AD21" s="3">
        <f>+AD16/AD7</f>
        <v>7.2445122862894951E-2</v>
      </c>
      <c r="AE21" s="3">
        <f>+AE16/AE7</f>
        <v>7.4157365761563662E-2</v>
      </c>
      <c r="AF21" s="3">
        <f>+AF16/AF7</f>
        <v>7.2966616615808541E-2</v>
      </c>
      <c r="AG21" s="3">
        <f>+AG16/AG7</f>
        <v>6.9079489754620541E-2</v>
      </c>
    </row>
    <row r="22" spans="1:33" s="3" customFormat="1" x14ac:dyDescent="0.2">
      <c r="A22" s="3" t="s">
        <v>8</v>
      </c>
      <c r="B22" s="3">
        <f t="shared" ref="B22:P22" si="24">+B15/B14</f>
        <v>0.19211267605633803</v>
      </c>
      <c r="C22" s="3">
        <f t="shared" si="24"/>
        <v>0.18846517491333123</v>
      </c>
      <c r="D22" s="3">
        <f t="shared" si="24"/>
        <v>0.86920801840289186</v>
      </c>
      <c r="E22" s="3">
        <f t="shared" si="24"/>
        <v>-0.55636796463186533</v>
      </c>
      <c r="F22" s="3">
        <f t="shared" si="24"/>
        <v>0.18740588637919234</v>
      </c>
      <c r="G22" s="3">
        <f t="shared" si="24"/>
        <v>0.19633052095888576</v>
      </c>
      <c r="H22" s="3">
        <f t="shared" si="24"/>
        <v>0.20092616413686648</v>
      </c>
      <c r="I22" s="3">
        <f t="shared" si="24"/>
        <v>0.18160344588022787</v>
      </c>
      <c r="J22" s="3">
        <f t="shared" si="24"/>
        <v>0.18766562274150808</v>
      </c>
      <c r="K22" s="3">
        <f t="shared" si="24"/>
        <v>0.19054545454545455</v>
      </c>
      <c r="L22" s="3">
        <f t="shared" si="24"/>
        <v>0.1901367973330268</v>
      </c>
      <c r="M22" s="3">
        <f t="shared" si="24"/>
        <v>0.15115536831354526</v>
      </c>
      <c r="N22" s="3">
        <f t="shared" si="24"/>
        <v>0.15116279069767441</v>
      </c>
      <c r="O22" s="3">
        <f t="shared" si="24"/>
        <v>0.1572692793931732</v>
      </c>
      <c r="P22" s="3">
        <f t="shared" si="24"/>
        <v>0.15631123919308357</v>
      </c>
      <c r="Q22" s="3">
        <f t="shared" ref="Q22:R22" si="25">+Q15/Q14</f>
        <v>0.12892075278453463</v>
      </c>
      <c r="R22" s="3">
        <f t="shared" si="25"/>
        <v>0.1777390546721847</v>
      </c>
      <c r="AD22" s="3">
        <f>+AD15/AD14</f>
        <v>0.1801440207767678</v>
      </c>
      <c r="AE22" s="3">
        <f>+AE15/AE14</f>
        <v>0.19177621625256364</v>
      </c>
      <c r="AF22" s="3">
        <f>+AF15/AF14</f>
        <v>0.18038931205416517</v>
      </c>
      <c r="AG22" s="3">
        <f>+AG15/AG14</f>
        <v>0.14867610837438425</v>
      </c>
    </row>
    <row r="23" spans="1:33" s="3" customFormat="1" x14ac:dyDescent="0.2"/>
    <row r="24" spans="1:33" s="7" customFormat="1" x14ac:dyDescent="0.2">
      <c r="A24" s="7" t="s">
        <v>9</v>
      </c>
      <c r="F24" s="7">
        <f t="shared" ref="F24:R24" si="26">+F7/B7-1</f>
        <v>0.1417887059091687</v>
      </c>
      <c r="G24" s="7">
        <f t="shared" si="26"/>
        <v>0.12634427447736285</v>
      </c>
      <c r="H24" s="7">
        <f t="shared" si="26"/>
        <v>0.11829354272364068</v>
      </c>
      <c r="I24" s="7">
        <f t="shared" si="26"/>
        <v>0.12264214908533688</v>
      </c>
      <c r="J24" s="7">
        <f t="shared" si="26"/>
        <v>0.14700121024591706</v>
      </c>
      <c r="K24" s="7">
        <f t="shared" si="26"/>
        <v>0.15648807449086299</v>
      </c>
      <c r="L24" s="7">
        <f t="shared" si="26"/>
        <v>0.14175340569139872</v>
      </c>
      <c r="M24" s="7">
        <f t="shared" si="26"/>
        <v>0.14060178530445611</v>
      </c>
      <c r="N24" s="7">
        <f t="shared" si="26"/>
        <v>8.5553295406337382E-2</v>
      </c>
      <c r="O24" s="7">
        <f t="shared" si="26"/>
        <v>6.4066822384637678E-2</v>
      </c>
      <c r="P24" s="7">
        <f t="shared" si="26"/>
        <v>9.158627559251209E-2</v>
      </c>
      <c r="Q24" s="7">
        <f t="shared" si="26"/>
        <v>6.7565420907155893E-2</v>
      </c>
      <c r="R24" s="7">
        <f t="shared" si="26"/>
        <v>9.7989899394765212E-2</v>
      </c>
      <c r="AD24" s="7" t="e">
        <f t="shared" ref="AD24:AF24" si="27">+AD7/AC7-1</f>
        <v>#DIV/0!</v>
      </c>
      <c r="AE24" s="7">
        <f t="shared" si="27"/>
        <v>0.12713971286209524</v>
      </c>
      <c r="AF24" s="7">
        <f t="shared" si="27"/>
        <v>0.14640827734281014</v>
      </c>
      <c r="AG24" s="7">
        <f>+AG7/AF7-1</f>
        <v>7.7110612396467326E-2</v>
      </c>
    </row>
    <row r="26" spans="1:33" x14ac:dyDescent="0.2">
      <c r="A26" s="1" t="s">
        <v>45</v>
      </c>
      <c r="Q26" s="1">
        <f>+Q27-Q32</f>
        <v>4563</v>
      </c>
      <c r="R26" s="1">
        <f>+R27-R32</f>
        <v>4883</v>
      </c>
    </row>
    <row r="27" spans="1:33" x14ac:dyDescent="0.2">
      <c r="A27" s="1" t="s">
        <v>28</v>
      </c>
      <c r="Q27" s="1">
        <f>29113+52354</f>
        <v>81467</v>
      </c>
      <c r="R27" s="1">
        <f>34291+51863</f>
        <v>86154</v>
      </c>
    </row>
    <row r="28" spans="1:33" x14ac:dyDescent="0.2">
      <c r="A28" s="1" t="s">
        <v>46</v>
      </c>
      <c r="Q28" s="1">
        <v>22365</v>
      </c>
      <c r="R28" s="1">
        <v>26936</v>
      </c>
    </row>
    <row r="29" spans="1:33" x14ac:dyDescent="0.2">
      <c r="A29" s="1" t="s">
        <v>47</v>
      </c>
      <c r="Q29" s="1">
        <f>34301+160145</f>
        <v>194446</v>
      </c>
      <c r="R29" s="1">
        <f>35058+161642</f>
        <v>196700</v>
      </c>
    </row>
    <row r="30" spans="1:33" s="6" customFormat="1" x14ac:dyDescent="0.2">
      <c r="A30" s="6" t="s">
        <v>48</v>
      </c>
      <c r="Q30" s="6">
        <f>+SUM(Q27:Q29)</f>
        <v>298278</v>
      </c>
      <c r="R30" s="6">
        <f>+SUM(R27:R29)</f>
        <v>309790</v>
      </c>
    </row>
    <row r="31" spans="1:33" x14ac:dyDescent="0.2">
      <c r="A31" s="1" t="s">
        <v>49</v>
      </c>
      <c r="Q31" s="1">
        <v>34224</v>
      </c>
      <c r="R31" s="1">
        <v>37136</v>
      </c>
    </row>
    <row r="32" spans="1:33" x14ac:dyDescent="0.2">
      <c r="A32" s="1" t="s">
        <v>29</v>
      </c>
      <c r="Q32" s="1">
        <f>4545+72359</f>
        <v>76904</v>
      </c>
      <c r="R32" s="1">
        <f>9986+71285</f>
        <v>81271</v>
      </c>
    </row>
    <row r="33" spans="1:33" x14ac:dyDescent="0.2">
      <c r="A33" s="1" t="s">
        <v>47</v>
      </c>
      <c r="Q33" s="1">
        <f>65000+19559</f>
        <v>84559</v>
      </c>
      <c r="R33" s="1">
        <f>66349+19865</f>
        <v>86214</v>
      </c>
    </row>
    <row r="34" spans="1:33" x14ac:dyDescent="0.2">
      <c r="A34" s="1" t="s">
        <v>50</v>
      </c>
      <c r="Q34" s="1">
        <v>4323</v>
      </c>
      <c r="R34" s="1">
        <v>4358</v>
      </c>
    </row>
    <row r="35" spans="1:33" s="6" customFormat="1" x14ac:dyDescent="0.2">
      <c r="A35" s="6" t="s">
        <v>51</v>
      </c>
      <c r="Q35" s="6">
        <f>+SUM(Q31:Q34)</f>
        <v>200010</v>
      </c>
      <c r="R35" s="6">
        <f>+SUM(R31:R34)</f>
        <v>208979</v>
      </c>
    </row>
    <row r="36" spans="1:33" x14ac:dyDescent="0.2">
      <c r="A36" s="1" t="s">
        <v>52</v>
      </c>
      <c r="Q36" s="1">
        <v>98268</v>
      </c>
      <c r="R36" s="1">
        <v>100811</v>
      </c>
    </row>
    <row r="37" spans="1:33" x14ac:dyDescent="0.2">
      <c r="A37" s="1" t="s">
        <v>53</v>
      </c>
      <c r="Q37" s="1">
        <f>+Q36+Q35</f>
        <v>298278</v>
      </c>
      <c r="R37" s="1">
        <f>+R36+R35</f>
        <v>309790</v>
      </c>
    </row>
    <row r="39" spans="1:33" s="11" customFormat="1" x14ac:dyDescent="0.2">
      <c r="A39" s="11" t="s">
        <v>54</v>
      </c>
      <c r="Q39" s="11">
        <f>+SUM(N16:Q16)</f>
        <v>27651</v>
      </c>
      <c r="R39" s="11">
        <f>+SUM(O16:R16)</f>
        <v>28339</v>
      </c>
    </row>
    <row r="40" spans="1:33" s="10" customFormat="1" x14ac:dyDescent="0.2">
      <c r="A40" s="10" t="s">
        <v>55</v>
      </c>
      <c r="Q40" s="10">
        <f>+Q39/(Q28+Q29)</f>
        <v>0.12753504204122484</v>
      </c>
      <c r="R40" s="10">
        <f>+R39/(R28+R29)</f>
        <v>0.12671931173871828</v>
      </c>
    </row>
    <row r="42" spans="1:33" x14ac:dyDescent="0.2">
      <c r="A42" s="1" t="s">
        <v>56</v>
      </c>
      <c r="N42" s="1">
        <f t="shared" ref="N42:P42" si="28">+N16</f>
        <v>6862</v>
      </c>
      <c r="O42" s="1">
        <f t="shared" si="28"/>
        <v>6666</v>
      </c>
      <c r="P42" s="1">
        <f t="shared" si="28"/>
        <v>7319</v>
      </c>
      <c r="Q42" s="1">
        <f>+Q16</f>
        <v>6804</v>
      </c>
      <c r="R42" s="1">
        <f>+R16</f>
        <v>7550</v>
      </c>
      <c r="AG42" s="1">
        <f>+AG16</f>
        <v>27651</v>
      </c>
    </row>
    <row r="43" spans="1:33" x14ac:dyDescent="0.2">
      <c r="A43" s="1" t="s">
        <v>57</v>
      </c>
      <c r="N43" s="1">
        <v>-1221</v>
      </c>
      <c r="O43" s="1">
        <f>3200-N43</f>
        <v>4421</v>
      </c>
      <c r="P43" s="1">
        <f>9458-SUM(N43:O43)</f>
        <v>6258</v>
      </c>
      <c r="Q43" s="1">
        <f>+AG43-SUM(N43:P43)</f>
        <v>5784</v>
      </c>
      <c r="R43" s="1">
        <v>6474</v>
      </c>
      <c r="AG43" s="1">
        <v>15242</v>
      </c>
    </row>
    <row r="44" spans="1:33" x14ac:dyDescent="0.2">
      <c r="A44" s="1" t="s">
        <v>58</v>
      </c>
      <c r="N44" s="1">
        <v>997</v>
      </c>
      <c r="O44" s="1">
        <f>2017-N44</f>
        <v>1020</v>
      </c>
      <c r="P44" s="1">
        <f>3058-SUM(N44:O44)</f>
        <v>1041</v>
      </c>
      <c r="Q44" s="1">
        <f>+AG44-SUM(N44:P44)</f>
        <v>1041</v>
      </c>
      <c r="R44" s="1">
        <v>1061</v>
      </c>
      <c r="AG44" s="1">
        <v>4099</v>
      </c>
    </row>
    <row r="45" spans="1:33" x14ac:dyDescent="0.2">
      <c r="A45" s="1" t="s">
        <v>59</v>
      </c>
      <c r="N45" s="1">
        <v>152</v>
      </c>
      <c r="O45" s="1">
        <f>101-N45</f>
        <v>-51</v>
      </c>
      <c r="P45" s="1">
        <f>-844-SUM(N45:O45)</f>
        <v>-945</v>
      </c>
      <c r="Q45" s="1">
        <f t="shared" ref="Q44:Q48" si="29">+AG45-SUM(N45:P45)</f>
        <v>-2813</v>
      </c>
      <c r="R45" s="1">
        <v>161</v>
      </c>
      <c r="AG45" s="1">
        <v>-3657</v>
      </c>
    </row>
    <row r="46" spans="1:33" x14ac:dyDescent="0.2">
      <c r="A46" s="1" t="s">
        <v>60</v>
      </c>
      <c r="N46" s="1">
        <v>372</v>
      </c>
      <c r="O46" s="1">
        <f>594-N46</f>
        <v>222</v>
      </c>
      <c r="P46" s="1">
        <f>831-SUM(N46:O46)</f>
        <v>237</v>
      </c>
      <c r="Q46" s="1">
        <f t="shared" si="29"/>
        <v>187</v>
      </c>
      <c r="R46" s="1">
        <v>375</v>
      </c>
      <c r="AG46" s="1">
        <v>1018</v>
      </c>
    </row>
    <row r="47" spans="1:33" x14ac:dyDescent="0.2">
      <c r="A47" s="1" t="s">
        <v>61</v>
      </c>
      <c r="N47" s="1">
        <v>7086</v>
      </c>
      <c r="O47" s="1">
        <f>8311-N47</f>
        <v>1225</v>
      </c>
      <c r="P47" s="1">
        <f>8331-SUM(N47:O47)</f>
        <v>20</v>
      </c>
      <c r="Q47" s="1">
        <f t="shared" si="29"/>
        <v>-21</v>
      </c>
      <c r="R47" s="1">
        <v>15</v>
      </c>
      <c r="AG47" s="1">
        <v>8310</v>
      </c>
    </row>
    <row r="48" spans="1:33" x14ac:dyDescent="0.2">
      <c r="A48" s="1" t="s">
        <v>62</v>
      </c>
      <c r="N48" s="1">
        <v>-6242</v>
      </c>
      <c r="O48" s="1">
        <f>-6333-N48</f>
        <v>-91</v>
      </c>
      <c r="P48" s="1">
        <f>1001-SUM(N48:O48)</f>
        <v>7334</v>
      </c>
      <c r="Q48" s="1">
        <f t="shared" si="29"/>
        <v>-1809</v>
      </c>
      <c r="R48" s="1">
        <v>-2630</v>
      </c>
      <c r="AG48" s="1">
        <v>-808</v>
      </c>
    </row>
    <row r="49" spans="1:33" s="6" customFormat="1" x14ac:dyDescent="0.2">
      <c r="A49" s="6" t="s">
        <v>63</v>
      </c>
      <c r="N49" s="6">
        <f>+SUM(N43:N48)</f>
        <v>1144</v>
      </c>
      <c r="O49" s="6">
        <f>+SUM(O43:O48)</f>
        <v>6746</v>
      </c>
      <c r="P49" s="6">
        <f>+SUM(P43:P48)</f>
        <v>13945</v>
      </c>
      <c r="Q49" s="6">
        <f>+SUM(Q43:Q48)</f>
        <v>2369</v>
      </c>
      <c r="R49" s="6">
        <f>+SUM(R43:R48)</f>
        <v>5456</v>
      </c>
      <c r="AG49" s="6">
        <f>+SUM(AG43:AG48)</f>
        <v>24204</v>
      </c>
    </row>
    <row r="51" spans="1:33" x14ac:dyDescent="0.2">
      <c r="A51" s="1" t="s">
        <v>64</v>
      </c>
      <c r="N51" s="1">
        <v>492</v>
      </c>
      <c r="O51" s="1">
        <f>-221-N51</f>
        <v>-713</v>
      </c>
      <c r="P51" s="1">
        <f>1852-SUM(N51:O51)</f>
        <v>2073</v>
      </c>
      <c r="Q51" s="1">
        <f>+AG51-SUM(N51:P51)</f>
        <v>-1327</v>
      </c>
      <c r="R51" s="1">
        <v>1217</v>
      </c>
      <c r="AG51" s="1">
        <v>525</v>
      </c>
    </row>
    <row r="52" spans="1:33" s="6" customFormat="1" x14ac:dyDescent="0.2">
      <c r="A52" s="6" t="s">
        <v>65</v>
      </c>
      <c r="N52" s="6">
        <v>-743</v>
      </c>
      <c r="O52" s="6">
        <f>-1596-N52</f>
        <v>-853</v>
      </c>
      <c r="P52" s="6">
        <f>-2587-SUM(N52:O52)</f>
        <v>-991</v>
      </c>
      <c r="Q52" s="6">
        <f t="shared" ref="Q51:Q55" si="30">+AG52-SUM(N52:P52)</f>
        <v>-912</v>
      </c>
      <c r="R52" s="6">
        <v>-898</v>
      </c>
      <c r="AG52" s="6">
        <v>-3499</v>
      </c>
    </row>
    <row r="53" spans="1:33" x14ac:dyDescent="0.2">
      <c r="A53" s="1" t="s">
        <v>66</v>
      </c>
      <c r="N53" s="1">
        <v>-3006</v>
      </c>
      <c r="O53" s="1">
        <f>-3031-N53</f>
        <v>-25</v>
      </c>
      <c r="P53" s="1">
        <f>-11674-SUM(N53:O53)</f>
        <v>-8643</v>
      </c>
      <c r="Q53" s="1">
        <f t="shared" si="30"/>
        <v>-1734</v>
      </c>
      <c r="R53" s="1">
        <v>-702</v>
      </c>
      <c r="AG53" s="1">
        <v>-13408</v>
      </c>
    </row>
    <row r="54" spans="1:33" x14ac:dyDescent="0.2">
      <c r="A54" s="1" t="s">
        <v>67</v>
      </c>
      <c r="N54" s="1">
        <v>-2164</v>
      </c>
      <c r="O54" s="1">
        <f>-8100-N54</f>
        <v>-5936</v>
      </c>
      <c r="P54" s="1">
        <f>-8904+3189-SUM(N54:O54)</f>
        <v>2385</v>
      </c>
      <c r="Q54" s="1">
        <f t="shared" si="30"/>
        <v>1196</v>
      </c>
      <c r="R54" s="1">
        <v>891</v>
      </c>
      <c r="AG54" s="1">
        <f>-9033+4514</f>
        <v>-4519</v>
      </c>
    </row>
    <row r="55" spans="1:33" x14ac:dyDescent="0.2">
      <c r="A55" s="1" t="s">
        <v>47</v>
      </c>
      <c r="N55" s="1">
        <v>-919</v>
      </c>
      <c r="O55" s="1">
        <f>-809-N55</f>
        <v>110</v>
      </c>
      <c r="P55" s="1">
        <f>-1284-SUM(N55:O55)</f>
        <v>-475</v>
      </c>
      <c r="Q55" s="1">
        <f t="shared" si="30"/>
        <v>1658</v>
      </c>
      <c r="R55" s="1">
        <v>-582</v>
      </c>
      <c r="AG55" s="1">
        <v>374</v>
      </c>
    </row>
    <row r="56" spans="1:33" x14ac:dyDescent="0.2">
      <c r="A56" s="1" t="s">
        <v>68</v>
      </c>
      <c r="N56" s="1">
        <f>+SUM(N51:N55)</f>
        <v>-6340</v>
      </c>
      <c r="O56" s="1">
        <f>+SUM(O51:O55)</f>
        <v>-7417</v>
      </c>
      <c r="P56" s="1">
        <f>+SUM(P51:P55)</f>
        <v>-5651</v>
      </c>
      <c r="Q56" s="1">
        <f>+SUM(Q51:Q55)</f>
        <v>-1119</v>
      </c>
      <c r="R56" s="1">
        <f>+SUM(R51:R55)</f>
        <v>-74</v>
      </c>
      <c r="AG56" s="1">
        <f>+SUM(AG51:AG55)</f>
        <v>-20527</v>
      </c>
    </row>
    <row r="58" spans="1:33" x14ac:dyDescent="0.2">
      <c r="A58" s="1" t="s">
        <v>69</v>
      </c>
      <c r="N58" s="1">
        <v>-3072</v>
      </c>
      <c r="O58" s="1">
        <f>-3072-N58</f>
        <v>0</v>
      </c>
      <c r="P58" s="1">
        <f>-4028-SUM(N58:O58)</f>
        <v>-956</v>
      </c>
      <c r="Q58" s="1">
        <f t="shared" ref="Q58:Q63" si="31">+AG58-SUM(N58:P58)</f>
        <v>-4972</v>
      </c>
      <c r="R58" s="1">
        <v>-3000</v>
      </c>
      <c r="AG58" s="1">
        <v>-9000</v>
      </c>
    </row>
    <row r="59" spans="1:33" x14ac:dyDescent="0.2">
      <c r="A59" s="1" t="s">
        <v>70</v>
      </c>
      <c r="N59" s="1">
        <v>-1729</v>
      </c>
      <c r="O59" s="1">
        <f>-3664-N59</f>
        <v>-1935</v>
      </c>
      <c r="P59" s="1">
        <f>-5601-SUM(N59:O59)</f>
        <v>-1937</v>
      </c>
      <c r="Q59" s="1">
        <f t="shared" si="31"/>
        <v>-1932</v>
      </c>
      <c r="R59" s="1">
        <v>-1912</v>
      </c>
      <c r="AG59" s="1">
        <v>-7533</v>
      </c>
    </row>
    <row r="60" spans="1:33" x14ac:dyDescent="0.2">
      <c r="A60" s="1" t="s">
        <v>29</v>
      </c>
      <c r="N60" s="1">
        <v>11364</v>
      </c>
      <c r="O60" s="1">
        <f>12790-N60</f>
        <v>1426</v>
      </c>
      <c r="P60" s="1">
        <f>15120-SUM(N60:O60)</f>
        <v>2330</v>
      </c>
      <c r="Q60" s="1">
        <f t="shared" si="31"/>
        <v>-460</v>
      </c>
      <c r="R60" s="1">
        <v>3911</v>
      </c>
      <c r="AG60" s="1">
        <v>14660</v>
      </c>
    </row>
    <row r="61" spans="1:33" x14ac:dyDescent="0.2">
      <c r="A61" s="1" t="s">
        <v>47</v>
      </c>
      <c r="N61" s="1">
        <v>1668</v>
      </c>
      <c r="O61" s="1">
        <f>981-N61</f>
        <v>-687</v>
      </c>
      <c r="P61" s="1">
        <f>-661-SUM(N61:O61)</f>
        <v>-1642</v>
      </c>
      <c r="Q61" s="1">
        <f t="shared" si="31"/>
        <v>-978</v>
      </c>
      <c r="R61" s="1">
        <v>1100</v>
      </c>
      <c r="AG61" s="1">
        <v>-1639</v>
      </c>
    </row>
    <row r="62" spans="1:33" x14ac:dyDescent="0.2">
      <c r="A62" s="1" t="s">
        <v>71</v>
      </c>
      <c r="N62" s="1">
        <f>+SUM(N58:N61)</f>
        <v>8231</v>
      </c>
      <c r="O62" s="1">
        <f>+SUM(O58:O61)</f>
        <v>-1196</v>
      </c>
      <c r="P62" s="1">
        <f>+SUM(P58:P61)</f>
        <v>-2205</v>
      </c>
      <c r="Q62" s="1">
        <f>+SUM(Q58:Q61)</f>
        <v>-8342</v>
      </c>
      <c r="R62" s="1">
        <f>+SUM(R58:R61)</f>
        <v>99</v>
      </c>
      <c r="AG62" s="1">
        <f>+SUM(AG58:AG61)</f>
        <v>-3512</v>
      </c>
    </row>
    <row r="63" spans="1:33" x14ac:dyDescent="0.2">
      <c r="A63" s="1" t="s">
        <v>72</v>
      </c>
      <c r="N63" s="1">
        <v>-48</v>
      </c>
      <c r="O63" s="1">
        <f>-44-N63</f>
        <v>4</v>
      </c>
      <c r="P63" s="1">
        <f>-30-SUM(N63:O63)</f>
        <v>14</v>
      </c>
      <c r="Q63" s="1">
        <f t="shared" si="31"/>
        <v>-31</v>
      </c>
      <c r="R63" s="1">
        <v>15</v>
      </c>
      <c r="AG63" s="1">
        <v>-61</v>
      </c>
    </row>
    <row r="64" spans="1:33" x14ac:dyDescent="0.2">
      <c r="A64" s="1" t="s">
        <v>73</v>
      </c>
      <c r="N64" s="1">
        <f>+N49+N56+N62+N63</f>
        <v>2987</v>
      </c>
      <c r="O64" s="1">
        <f>+O49+O56+O62+O63</f>
        <v>-1863</v>
      </c>
      <c r="P64" s="1">
        <f>+P49+P56+P62+P63</f>
        <v>6103</v>
      </c>
      <c r="Q64" s="1">
        <f>+Q49+Q56+Q62+Q63</f>
        <v>-7123</v>
      </c>
      <c r="R64" s="1">
        <f>+R49+R56+R62+R63</f>
        <v>5496</v>
      </c>
      <c r="AG64" s="1">
        <f>+AG49+AG56+AG62+AG63</f>
        <v>104</v>
      </c>
    </row>
    <row r="66" spans="1:33" s="6" customFormat="1" x14ac:dyDescent="0.2">
      <c r="A66" s="6" t="s">
        <v>74</v>
      </c>
      <c r="N66" s="6">
        <f>+N49+N52</f>
        <v>401</v>
      </c>
      <c r="O66" s="6">
        <f>+O49+O52</f>
        <v>5893</v>
      </c>
      <c r="P66" s="6">
        <f>+P49+P52</f>
        <v>12954</v>
      </c>
      <c r="Q66" s="6">
        <f>+Q49+Q52</f>
        <v>1457</v>
      </c>
      <c r="R66" s="6">
        <f>+R49+R52</f>
        <v>4558</v>
      </c>
      <c r="AG66" s="6">
        <f>+AG49+AG52</f>
        <v>20705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Fidel</cp:lastModifiedBy>
  <dcterms:created xsi:type="dcterms:W3CDTF">2024-12-11T21:03:01Z</dcterms:created>
  <dcterms:modified xsi:type="dcterms:W3CDTF">2025-04-17T13:00:21Z</dcterms:modified>
</cp:coreProperties>
</file>