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F1EF0CD6-4E38-4163-A9E1-ABBE2FE99345}" xr6:coauthVersionLast="47" xr6:coauthVersionMax="47" xr10:uidLastSave="{00000000-0000-0000-0000-000000000000}"/>
  <bookViews>
    <workbookView xWindow="-120" yWindow="-120" windowWidth="29040" windowHeight="15840" activeTab="2" xr2:uid="{61E41DC3-8B66-459B-A1F3-AA72B8185D88}"/>
  </bookViews>
  <sheets>
    <sheet name="Main" sheetId="1" r:id="rId1"/>
    <sheet name="Model" sheetId="2" r:id="rId2"/>
    <sheet name="Brands" sheetId="3" r:id="rId3"/>
    <sheet name="Geographic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" i="3" l="1"/>
  <c r="O41" i="3"/>
  <c r="O35" i="3"/>
  <c r="P42" i="3"/>
  <c r="P41" i="3"/>
  <c r="P35" i="3"/>
  <c r="O29" i="3"/>
  <c r="O28" i="3"/>
  <c r="O27" i="3"/>
  <c r="O26" i="3"/>
  <c r="O25" i="3"/>
  <c r="P29" i="3"/>
  <c r="P28" i="3"/>
  <c r="P27" i="3"/>
  <c r="P26" i="3"/>
  <c r="P25" i="3"/>
  <c r="F42" i="3"/>
  <c r="F41" i="3"/>
  <c r="F35" i="3"/>
  <c r="F29" i="3"/>
  <c r="J42" i="3"/>
  <c r="J41" i="3"/>
  <c r="J35" i="3"/>
  <c r="J29" i="3"/>
  <c r="P14" i="2"/>
  <c r="P9" i="2"/>
  <c r="Q14" i="2"/>
  <c r="Q9" i="2"/>
  <c r="P29" i="2"/>
  <c r="P24" i="2"/>
  <c r="P19" i="2"/>
  <c r="Q29" i="2"/>
  <c r="Q24" i="2"/>
  <c r="Q19" i="2"/>
  <c r="P21" i="3"/>
  <c r="Q21" i="3"/>
  <c r="R21" i="3"/>
  <c r="T24" i="4"/>
  <c r="T23" i="4"/>
  <c r="T21" i="4"/>
  <c r="T20" i="4"/>
  <c r="T19" i="4"/>
  <c r="T17" i="4"/>
  <c r="T15" i="4"/>
  <c r="T14" i="4"/>
  <c r="T13" i="4"/>
  <c r="T11" i="4"/>
  <c r="T10" i="4"/>
  <c r="T9" i="4"/>
  <c r="T8" i="4"/>
  <c r="T7" i="4"/>
  <c r="U24" i="4"/>
  <c r="U23" i="4"/>
  <c r="U17" i="4"/>
  <c r="U11" i="4"/>
  <c r="O10" i="4"/>
  <c r="S24" i="4"/>
  <c r="Q24" i="4"/>
  <c r="S9" i="4"/>
  <c r="S8" i="4"/>
  <c r="S7" i="4"/>
  <c r="Q9" i="4"/>
  <c r="Q8" i="4"/>
  <c r="P8" i="4" s="1"/>
  <c r="Q7" i="4"/>
  <c r="O9" i="4"/>
  <c r="P9" i="4" s="1"/>
  <c r="O8" i="4"/>
  <c r="O7" i="4"/>
  <c r="AG29" i="2"/>
  <c r="AG24" i="2"/>
  <c r="AG19" i="2"/>
  <c r="R21" i="4"/>
  <c r="R20" i="4"/>
  <c r="R19" i="4"/>
  <c r="R15" i="4"/>
  <c r="R14" i="4"/>
  <c r="R13" i="4"/>
  <c r="R9" i="4"/>
  <c r="R8" i="4"/>
  <c r="S23" i="4"/>
  <c r="R23" i="4" s="1"/>
  <c r="S17" i="4"/>
  <c r="R17" i="4" s="1"/>
  <c r="AF29" i="2"/>
  <c r="AF24" i="2"/>
  <c r="AF19" i="2"/>
  <c r="P21" i="4"/>
  <c r="P20" i="4"/>
  <c r="P19" i="4"/>
  <c r="P16" i="4"/>
  <c r="P15" i="4"/>
  <c r="P14" i="4"/>
  <c r="P13" i="4"/>
  <c r="O23" i="4"/>
  <c r="O17" i="4"/>
  <c r="P7" i="4"/>
  <c r="Q23" i="4"/>
  <c r="P23" i="4" s="1"/>
  <c r="Q17" i="4"/>
  <c r="P17" i="4" s="1"/>
  <c r="Q11" i="4"/>
  <c r="AC29" i="2"/>
  <c r="AC24" i="2"/>
  <c r="N8" i="4"/>
  <c r="N7" i="4"/>
  <c r="AE29" i="2"/>
  <c r="AE24" i="2"/>
  <c r="AE19" i="2"/>
  <c r="AC19" i="2"/>
  <c r="AD29" i="2"/>
  <c r="AD24" i="2"/>
  <c r="AD19" i="2"/>
  <c r="M11" i="4"/>
  <c r="J11" i="4"/>
  <c r="F11" i="4"/>
  <c r="H11" i="4"/>
  <c r="E3" i="4"/>
  <c r="G3" i="4" s="1"/>
  <c r="I3" i="4" s="1"/>
  <c r="K3" i="4" s="1"/>
  <c r="M3" i="4" s="1"/>
  <c r="O3" i="4" s="1"/>
  <c r="Q3" i="4" s="1"/>
  <c r="S3" i="4" s="1"/>
  <c r="U3" i="4" s="1"/>
  <c r="W3" i="4" s="1"/>
  <c r="X55" i="2"/>
  <c r="W36" i="2"/>
  <c r="W50" i="2" s="1"/>
  <c r="Q36" i="2"/>
  <c r="Q38" i="2" s="1"/>
  <c r="Q55" i="2"/>
  <c r="Y55" i="2"/>
  <c r="AC55" i="2"/>
  <c r="AB55" i="2"/>
  <c r="AA55" i="2"/>
  <c r="Z55" i="2"/>
  <c r="X36" i="2"/>
  <c r="X50" i="2" s="1"/>
  <c r="Y36" i="2"/>
  <c r="Y50" i="2" s="1"/>
  <c r="Z36" i="2"/>
  <c r="Z50" i="2" s="1"/>
  <c r="AA36" i="2"/>
  <c r="AA50" i="2" s="1"/>
  <c r="AB36" i="2"/>
  <c r="AB38" i="2" s="1"/>
  <c r="AC36" i="2"/>
  <c r="AC50" i="2" s="1"/>
  <c r="AD55" i="2"/>
  <c r="AD36" i="2"/>
  <c r="AD50" i="2" s="1"/>
  <c r="AF55" i="2"/>
  <c r="AE55" i="2"/>
  <c r="AG55" i="2"/>
  <c r="AE36" i="2"/>
  <c r="AE50" i="2" s="1"/>
  <c r="AF36" i="2"/>
  <c r="AF38" i="2" s="1"/>
  <c r="AF42" i="2" s="1"/>
  <c r="AG36" i="2"/>
  <c r="AG50" i="2" s="1"/>
  <c r="F36" i="2"/>
  <c r="F50" i="2" s="1"/>
  <c r="E36" i="2"/>
  <c r="E50" i="2" s="1"/>
  <c r="I55" i="2"/>
  <c r="I36" i="2"/>
  <c r="I50" i="2" s="1"/>
  <c r="D36" i="2"/>
  <c r="D38" i="2" s="1"/>
  <c r="H55" i="2"/>
  <c r="H36" i="2"/>
  <c r="H38" i="2" s="1"/>
  <c r="C36" i="2"/>
  <c r="C50" i="2" s="1"/>
  <c r="G55" i="2"/>
  <c r="G36" i="2"/>
  <c r="G50" i="2" s="1"/>
  <c r="M78" i="2"/>
  <c r="N78" i="2" s="1"/>
  <c r="P91" i="2"/>
  <c r="Q91" i="2" s="1"/>
  <c r="Q85" i="2"/>
  <c r="Q84" i="2"/>
  <c r="Q78" i="2"/>
  <c r="L103" i="2"/>
  <c r="L102" i="2"/>
  <c r="L101" i="2"/>
  <c r="L100" i="2"/>
  <c r="M100" i="2" s="1"/>
  <c r="N100" i="2" s="1"/>
  <c r="L97" i="2"/>
  <c r="M97" i="2" s="1"/>
  <c r="L88" i="2"/>
  <c r="O94" i="2"/>
  <c r="O95" i="2" s="1"/>
  <c r="O98" i="2" s="1"/>
  <c r="L93" i="2"/>
  <c r="L92" i="2"/>
  <c r="M92" i="2" s="1"/>
  <c r="N92" i="2" s="1"/>
  <c r="L91" i="2"/>
  <c r="L90" i="2"/>
  <c r="M90" i="2" s="1"/>
  <c r="N90" i="2" s="1"/>
  <c r="L89" i="2"/>
  <c r="M89" i="2" s="1"/>
  <c r="N89" i="2" s="1"/>
  <c r="L87" i="2"/>
  <c r="L86" i="2"/>
  <c r="M86" i="2" s="1"/>
  <c r="N86" i="2" s="1"/>
  <c r="L84" i="2"/>
  <c r="L83" i="2"/>
  <c r="L82" i="2"/>
  <c r="M82" i="2" s="1"/>
  <c r="L81" i="2"/>
  <c r="M81" i="2" s="1"/>
  <c r="N81" i="2" s="1"/>
  <c r="L80" i="2"/>
  <c r="L79" i="2"/>
  <c r="M79" i="2" s="1"/>
  <c r="N79" i="2" s="1"/>
  <c r="P103" i="2"/>
  <c r="Q103" i="2" s="1"/>
  <c r="P102" i="2"/>
  <c r="Q102" i="2" s="1"/>
  <c r="P101" i="2"/>
  <c r="Q101" i="2" s="1"/>
  <c r="P100" i="2"/>
  <c r="Q100" i="2" s="1"/>
  <c r="P97" i="2"/>
  <c r="Q97" i="2" s="1"/>
  <c r="P93" i="2"/>
  <c r="Q93" i="2" s="1"/>
  <c r="P92" i="2"/>
  <c r="Q92" i="2" s="1"/>
  <c r="P90" i="2"/>
  <c r="Q90" i="2" s="1"/>
  <c r="P89" i="2"/>
  <c r="Q89" i="2" s="1"/>
  <c r="P88" i="2"/>
  <c r="Q88" i="2" s="1"/>
  <c r="P87" i="2"/>
  <c r="Q87" i="2" s="1"/>
  <c r="P86" i="2"/>
  <c r="Q86" i="2" s="1"/>
  <c r="P83" i="2"/>
  <c r="Q83" i="2" s="1"/>
  <c r="P82" i="2"/>
  <c r="Q82" i="2" s="1"/>
  <c r="P81" i="2"/>
  <c r="Q81" i="2" s="1"/>
  <c r="P80" i="2"/>
  <c r="Q80" i="2" s="1"/>
  <c r="P79" i="2"/>
  <c r="Q79" i="2" s="1"/>
  <c r="P77" i="2"/>
  <c r="Q77" i="2" s="1"/>
  <c r="K94" i="2"/>
  <c r="K77" i="2"/>
  <c r="L77" i="2" s="1"/>
  <c r="J67" i="2"/>
  <c r="J57" i="2" s="1"/>
  <c r="J66" i="2"/>
  <c r="M67" i="2"/>
  <c r="M72" i="2" s="1"/>
  <c r="M66" i="2"/>
  <c r="Q67" i="2"/>
  <c r="Q72" i="2" s="1"/>
  <c r="Q63" i="2"/>
  <c r="Q66" i="2" s="1"/>
  <c r="L67" i="2"/>
  <c r="L72" i="2" s="1"/>
  <c r="L63" i="2"/>
  <c r="L66" i="2" s="1"/>
  <c r="P67" i="2"/>
  <c r="P72" i="2" s="1"/>
  <c r="P63" i="2"/>
  <c r="P66" i="2" s="1"/>
  <c r="K67" i="2"/>
  <c r="K72" i="2" s="1"/>
  <c r="K63" i="2"/>
  <c r="K66" i="2" s="1"/>
  <c r="N67" i="2"/>
  <c r="N72" i="2" s="1"/>
  <c r="N63" i="2"/>
  <c r="N66" i="2" s="1"/>
  <c r="O67" i="2"/>
  <c r="O57" i="2" s="1"/>
  <c r="O63" i="2"/>
  <c r="O66" i="2" s="1"/>
  <c r="K55" i="2"/>
  <c r="J55" i="2"/>
  <c r="J36" i="2"/>
  <c r="J38" i="2" s="1"/>
  <c r="N55" i="2"/>
  <c r="N36" i="2"/>
  <c r="N50" i="2" s="1"/>
  <c r="M55" i="2"/>
  <c r="M36" i="2"/>
  <c r="M50" i="2" s="1"/>
  <c r="P30" i="2" l="1"/>
  <c r="Q30" i="2"/>
  <c r="S11" i="4"/>
  <c r="R24" i="4" s="1"/>
  <c r="R7" i="4"/>
  <c r="N9" i="4"/>
  <c r="O11" i="4"/>
  <c r="Q50" i="2"/>
  <c r="W38" i="2"/>
  <c r="W51" i="2" s="1"/>
  <c r="Q42" i="2"/>
  <c r="Q51" i="2"/>
  <c r="X38" i="2"/>
  <c r="Y38" i="2"/>
  <c r="Z38" i="2"/>
  <c r="AA38" i="2"/>
  <c r="AB51" i="2"/>
  <c r="AB42" i="2"/>
  <c r="AB50" i="2"/>
  <c r="L94" i="2"/>
  <c r="L95" i="2" s="1"/>
  <c r="L98" i="2" s="1"/>
  <c r="AC38" i="2"/>
  <c r="AC51" i="2" s="1"/>
  <c r="Q94" i="2"/>
  <c r="Q95" i="2" s="1"/>
  <c r="Q98" i="2" s="1"/>
  <c r="M83" i="2"/>
  <c r="N83" i="2" s="1"/>
  <c r="M84" i="2"/>
  <c r="N84" i="2" s="1"/>
  <c r="N82" i="2"/>
  <c r="N97" i="2"/>
  <c r="M101" i="2"/>
  <c r="N101" i="2" s="1"/>
  <c r="M87" i="2"/>
  <c r="M102" i="2"/>
  <c r="N102" i="2" s="1"/>
  <c r="M88" i="2"/>
  <c r="N88" i="2" s="1"/>
  <c r="M103" i="2"/>
  <c r="N103" i="2" s="1"/>
  <c r="P94" i="2"/>
  <c r="P95" i="2" s="1"/>
  <c r="P98" i="2" s="1"/>
  <c r="M77" i="2"/>
  <c r="N77" i="2" s="1"/>
  <c r="M91" i="2"/>
  <c r="N91" i="2" s="1"/>
  <c r="M80" i="2"/>
  <c r="N80" i="2" s="1"/>
  <c r="M93" i="2"/>
  <c r="N93" i="2" s="1"/>
  <c r="AD38" i="2"/>
  <c r="AE38" i="2"/>
  <c r="AF50" i="2"/>
  <c r="AF53" i="2"/>
  <c r="AF44" i="2"/>
  <c r="AF46" i="2" s="1"/>
  <c r="AF51" i="2"/>
  <c r="AG38" i="2"/>
  <c r="AG51" i="2" s="1"/>
  <c r="F38" i="2"/>
  <c r="E38" i="2"/>
  <c r="I38" i="2"/>
  <c r="I51" i="2" s="1"/>
  <c r="D50" i="2"/>
  <c r="D51" i="2"/>
  <c r="D42" i="2"/>
  <c r="H51" i="2"/>
  <c r="H42" i="2"/>
  <c r="H50" i="2"/>
  <c r="C38" i="2"/>
  <c r="G38" i="2"/>
  <c r="G51" i="2" s="1"/>
  <c r="K95" i="2"/>
  <c r="K98" i="2" s="1"/>
  <c r="L57" i="2"/>
  <c r="P57" i="2"/>
  <c r="Q57" i="2"/>
  <c r="O72" i="2"/>
  <c r="J72" i="2"/>
  <c r="J73" i="2" s="1"/>
  <c r="J74" i="2" s="1"/>
  <c r="M57" i="2"/>
  <c r="M73" i="2"/>
  <c r="M74" i="2" s="1"/>
  <c r="Q73" i="2"/>
  <c r="Q74" i="2" s="1"/>
  <c r="L73" i="2"/>
  <c r="L74" i="2" s="1"/>
  <c r="P73" i="2"/>
  <c r="P74" i="2" s="1"/>
  <c r="K73" i="2"/>
  <c r="K74" i="2" s="1"/>
  <c r="K57" i="2"/>
  <c r="N73" i="2"/>
  <c r="N74" i="2" s="1"/>
  <c r="N57" i="2"/>
  <c r="J51" i="2"/>
  <c r="J42" i="2"/>
  <c r="J50" i="2"/>
  <c r="N38" i="2"/>
  <c r="M38" i="2"/>
  <c r="L55" i="2"/>
  <c r="L36" i="2"/>
  <c r="L38" i="2" s="1"/>
  <c r="P55" i="2"/>
  <c r="O55" i="2"/>
  <c r="P36" i="2"/>
  <c r="P50" i="2" s="1"/>
  <c r="K36" i="2"/>
  <c r="K50" i="2" s="1"/>
  <c r="O36" i="2"/>
  <c r="O38" i="2" s="1"/>
  <c r="O42" i="2" s="1"/>
  <c r="O44" i="2" s="1"/>
  <c r="O46" i="2" s="1"/>
  <c r="X4" i="2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P10" i="1"/>
  <c r="P8" i="1"/>
  <c r="P11" i="1" s="1"/>
  <c r="P13" i="1" s="1"/>
  <c r="O24" i="4" l="1"/>
  <c r="P24" i="4" s="1"/>
  <c r="R11" i="4"/>
  <c r="P11" i="4"/>
  <c r="N11" i="4"/>
  <c r="W42" i="2"/>
  <c r="W44" i="2" s="1"/>
  <c r="W46" i="2" s="1"/>
  <c r="Q44" i="2"/>
  <c r="Q46" i="2" s="1"/>
  <c r="Q53" i="2"/>
  <c r="X51" i="2"/>
  <c r="X42" i="2"/>
  <c r="Y51" i="2"/>
  <c r="Y42" i="2"/>
  <c r="Z51" i="2"/>
  <c r="Z42" i="2"/>
  <c r="AA51" i="2"/>
  <c r="AA42" i="2"/>
  <c r="AB53" i="2"/>
  <c r="AB44" i="2"/>
  <c r="AB46" i="2" s="1"/>
  <c r="AC42" i="2"/>
  <c r="AC53" i="2" s="1"/>
  <c r="M94" i="2"/>
  <c r="M95" i="2" s="1"/>
  <c r="M98" i="2" s="1"/>
  <c r="O47" i="2"/>
  <c r="O76" i="2"/>
  <c r="N87" i="2"/>
  <c r="N94" i="2" s="1"/>
  <c r="N95" i="2" s="1"/>
  <c r="N98" i="2" s="1"/>
  <c r="AD51" i="2"/>
  <c r="AD42" i="2"/>
  <c r="AE51" i="2"/>
  <c r="AE42" i="2"/>
  <c r="AF52" i="2"/>
  <c r="AF47" i="2"/>
  <c r="AG42" i="2"/>
  <c r="AG53" i="2" s="1"/>
  <c r="F51" i="2"/>
  <c r="F42" i="2"/>
  <c r="E51" i="2"/>
  <c r="E42" i="2"/>
  <c r="I42" i="2"/>
  <c r="I44" i="2" s="1"/>
  <c r="I46" i="2" s="1"/>
  <c r="D53" i="2"/>
  <c r="D44" i="2"/>
  <c r="D46" i="2" s="1"/>
  <c r="H53" i="2"/>
  <c r="H44" i="2"/>
  <c r="H46" i="2" s="1"/>
  <c r="C51" i="2"/>
  <c r="C42" i="2"/>
  <c r="G42" i="2"/>
  <c r="G53" i="2" s="1"/>
  <c r="O73" i="2"/>
  <c r="O74" i="2" s="1"/>
  <c r="J53" i="2"/>
  <c r="J44" i="2"/>
  <c r="N51" i="2"/>
  <c r="N42" i="2"/>
  <c r="M51" i="2"/>
  <c r="M42" i="2"/>
  <c r="L51" i="2"/>
  <c r="L42" i="2"/>
  <c r="L50" i="2"/>
  <c r="O51" i="2"/>
  <c r="O52" i="2"/>
  <c r="O53" i="2"/>
  <c r="O50" i="2"/>
  <c r="P38" i="2"/>
  <c r="K38" i="2"/>
  <c r="K76" i="2" l="1"/>
  <c r="J46" i="2"/>
  <c r="W53" i="2"/>
  <c r="W52" i="2"/>
  <c r="W47" i="2"/>
  <c r="Q47" i="2"/>
  <c r="Q52" i="2"/>
  <c r="X44" i="2"/>
  <c r="X46" i="2" s="1"/>
  <c r="X53" i="2"/>
  <c r="Y53" i="2"/>
  <c r="Y44" i="2"/>
  <c r="Y46" i="2" s="1"/>
  <c r="Z53" i="2"/>
  <c r="Z44" i="2"/>
  <c r="Z46" i="2" s="1"/>
  <c r="AA53" i="2"/>
  <c r="AA44" i="2"/>
  <c r="AA46" i="2" s="1"/>
  <c r="AB52" i="2"/>
  <c r="AB47" i="2"/>
  <c r="AC44" i="2"/>
  <c r="AD53" i="2"/>
  <c r="AD44" i="2"/>
  <c r="AD46" i="2" s="1"/>
  <c r="AE53" i="2"/>
  <c r="AE44" i="2"/>
  <c r="AE46" i="2" s="1"/>
  <c r="AG44" i="2"/>
  <c r="F53" i="2"/>
  <c r="F44" i="2"/>
  <c r="F46" i="2" s="1"/>
  <c r="E53" i="2"/>
  <c r="E44" i="2"/>
  <c r="E46" i="2" s="1"/>
  <c r="I53" i="2"/>
  <c r="I52" i="2"/>
  <c r="I47" i="2"/>
  <c r="D52" i="2"/>
  <c r="D47" i="2"/>
  <c r="H52" i="2"/>
  <c r="H47" i="2"/>
  <c r="C53" i="2"/>
  <c r="C44" i="2"/>
  <c r="C46" i="2" s="1"/>
  <c r="G44" i="2"/>
  <c r="J52" i="2"/>
  <c r="J47" i="2"/>
  <c r="N53" i="2"/>
  <c r="N44" i="2"/>
  <c r="M44" i="2"/>
  <c r="M53" i="2"/>
  <c r="Q76" i="2"/>
  <c r="L53" i="2"/>
  <c r="L44" i="2"/>
  <c r="P51" i="2"/>
  <c r="P42" i="2"/>
  <c r="K42" i="2"/>
  <c r="K51" i="2"/>
  <c r="G52" i="2" l="1"/>
  <c r="G46" i="2"/>
  <c r="AG52" i="2"/>
  <c r="AG46" i="2"/>
  <c r="L76" i="2"/>
  <c r="L46" i="2"/>
  <c r="M76" i="2"/>
  <c r="M46" i="2"/>
  <c r="AC47" i="2"/>
  <c r="AC46" i="2"/>
  <c r="N76" i="2"/>
  <c r="N46" i="2"/>
  <c r="X52" i="2"/>
  <c r="X47" i="2"/>
  <c r="Y52" i="2"/>
  <c r="Y47" i="2"/>
  <c r="Z52" i="2"/>
  <c r="Z47" i="2"/>
  <c r="AA52" i="2"/>
  <c r="AA47" i="2"/>
  <c r="AC52" i="2"/>
  <c r="AD52" i="2"/>
  <c r="AD47" i="2"/>
  <c r="AE52" i="2"/>
  <c r="AE47" i="2"/>
  <c r="AG47" i="2"/>
  <c r="F52" i="2"/>
  <c r="F47" i="2"/>
  <c r="E52" i="2"/>
  <c r="E47" i="2"/>
  <c r="C52" i="2"/>
  <c r="C47" i="2"/>
  <c r="G47" i="2"/>
  <c r="N52" i="2"/>
  <c r="N47" i="2"/>
  <c r="M52" i="2"/>
  <c r="M47" i="2"/>
  <c r="L47" i="2"/>
  <c r="L52" i="2"/>
  <c r="P53" i="2"/>
  <c r="P44" i="2"/>
  <c r="K53" i="2"/>
  <c r="K44" i="2"/>
  <c r="K46" i="2" s="1"/>
  <c r="P76" i="2" l="1"/>
  <c r="P46" i="2"/>
  <c r="P52" i="2"/>
  <c r="P47" i="2"/>
  <c r="K52" i="2"/>
  <c r="K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Z45" authorId="0" shapeId="0" xr:uid="{F8D1B57A-0441-4B75-B956-692F089EDF54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On August 26, 2016, the company completed the sale of its Contemporary Brands businesses, which included the 7 For All Mankind®, Splendid® and Ella Moss® brands.</t>
        </r>
      </text>
    </comment>
  </commentList>
</comments>
</file>

<file path=xl/sharedStrings.xml><?xml version="1.0" encoding="utf-8"?>
<sst xmlns="http://schemas.openxmlformats.org/spreadsheetml/2006/main" count="287" uniqueCount="185">
  <si>
    <t>V.F. Corporation</t>
  </si>
  <si>
    <t>(VFC)</t>
  </si>
  <si>
    <t>(in millions)</t>
  </si>
  <si>
    <t>Price</t>
  </si>
  <si>
    <t>Shares</t>
  </si>
  <si>
    <t>MC</t>
  </si>
  <si>
    <t>Cash</t>
  </si>
  <si>
    <t>Debt</t>
  </si>
  <si>
    <t>EV</t>
  </si>
  <si>
    <t>Q423</t>
  </si>
  <si>
    <t>Q323</t>
  </si>
  <si>
    <t>Q122</t>
  </si>
  <si>
    <t>Q222</t>
  </si>
  <si>
    <t>Q322</t>
  </si>
  <si>
    <t>Q422</t>
  </si>
  <si>
    <t>Q123</t>
  </si>
  <si>
    <t>Q223</t>
  </si>
  <si>
    <t>Q120</t>
  </si>
  <si>
    <t>Q220</t>
  </si>
  <si>
    <t>Q320</t>
  </si>
  <si>
    <t>Q420</t>
  </si>
  <si>
    <t>Q121</t>
  </si>
  <si>
    <t>Q221</t>
  </si>
  <si>
    <t>Q321</t>
  </si>
  <si>
    <t>Q421</t>
  </si>
  <si>
    <t>Revenue</t>
  </si>
  <si>
    <t>COGS</t>
  </si>
  <si>
    <t>Gross profit</t>
  </si>
  <si>
    <t>SG&amp;A</t>
  </si>
  <si>
    <t>Operating income</t>
  </si>
  <si>
    <t>Interest income</t>
  </si>
  <si>
    <t>Interest expense</t>
  </si>
  <si>
    <t>Other income</t>
  </si>
  <si>
    <t>Pretax</t>
  </si>
  <si>
    <t>Taxes</t>
  </si>
  <si>
    <t>Net income</t>
  </si>
  <si>
    <t>EPS</t>
  </si>
  <si>
    <t>Gross margin</t>
  </si>
  <si>
    <t>Operating margin</t>
  </si>
  <si>
    <t>Net margin</t>
  </si>
  <si>
    <t>Vans</t>
  </si>
  <si>
    <t>The North Face</t>
  </si>
  <si>
    <t>Timberland</t>
  </si>
  <si>
    <t>Dickies</t>
  </si>
  <si>
    <t>CEO</t>
  </si>
  <si>
    <t>Benno Dorer</t>
  </si>
  <si>
    <t>Net cash</t>
  </si>
  <si>
    <t>Inventories</t>
  </si>
  <si>
    <t>A/R</t>
  </si>
  <si>
    <t>OCA</t>
  </si>
  <si>
    <t>PP&amp;E</t>
  </si>
  <si>
    <t>Goodwill</t>
  </si>
  <si>
    <t>Lease</t>
  </si>
  <si>
    <t>OA</t>
  </si>
  <si>
    <t>Assets</t>
  </si>
  <si>
    <t>A/P</t>
  </si>
  <si>
    <t>Accrued</t>
  </si>
  <si>
    <t>OL</t>
  </si>
  <si>
    <t>Liabilities</t>
  </si>
  <si>
    <t>S/E</t>
  </si>
  <si>
    <t>L+S/E</t>
  </si>
  <si>
    <t>Model NI</t>
  </si>
  <si>
    <t>Reported NI</t>
  </si>
  <si>
    <t>D&amp;A</t>
  </si>
  <si>
    <t>SBC</t>
  </si>
  <si>
    <t>Provision</t>
  </si>
  <si>
    <t>Pension</t>
  </si>
  <si>
    <t>Other</t>
  </si>
  <si>
    <t>Reduction</t>
  </si>
  <si>
    <t>CFFO</t>
  </si>
  <si>
    <t>Capex</t>
  </si>
  <si>
    <t>FCF</t>
  </si>
  <si>
    <t>Borrowings</t>
  </si>
  <si>
    <t>Payment of debt</t>
  </si>
  <si>
    <t>Dividends</t>
  </si>
  <si>
    <t>Buybacks</t>
  </si>
  <si>
    <t>Working capital</t>
  </si>
  <si>
    <t>Cash end of period</t>
  </si>
  <si>
    <t>D/T</t>
  </si>
  <si>
    <t>Write-off income taxes</t>
  </si>
  <si>
    <t>Goodwill &amp; Intangible</t>
  </si>
  <si>
    <t>Revenue y/y</t>
  </si>
  <si>
    <t>Kipling</t>
  </si>
  <si>
    <t>Jansport</t>
  </si>
  <si>
    <t>Reef</t>
  </si>
  <si>
    <t>Smartwool</t>
  </si>
  <si>
    <t>lucy</t>
  </si>
  <si>
    <t>Eagle Creek</t>
  </si>
  <si>
    <t>Wrangler</t>
  </si>
  <si>
    <t>Lee</t>
  </si>
  <si>
    <t>Riders by Lee</t>
  </si>
  <si>
    <t>Rustler</t>
  </si>
  <si>
    <t>Timber Creek by Wrangler</t>
  </si>
  <si>
    <t>Rock &amp; Republic</t>
  </si>
  <si>
    <t>Red Kap</t>
  </si>
  <si>
    <t>Bulwark</t>
  </si>
  <si>
    <t>Horace Small</t>
  </si>
  <si>
    <t>Majestic</t>
  </si>
  <si>
    <t>MLB</t>
  </si>
  <si>
    <t>NFL</t>
  </si>
  <si>
    <t>Harley-Davidson</t>
  </si>
  <si>
    <t>Nautica</t>
  </si>
  <si>
    <t>7 For All Mankind</t>
  </si>
  <si>
    <t>Splendid</t>
  </si>
  <si>
    <t>Ella Moss</t>
  </si>
  <si>
    <t>High performance outdoor apparel, footwear, equipment, accessories</t>
  </si>
  <si>
    <t>Youth culture/action sports-inspired footwear, apparel, accessories</t>
  </si>
  <si>
    <t>Outdoor lifestyle footwear, apparel, accessories</t>
  </si>
  <si>
    <t>Handbags, luggage, backpacks, totes, accessories</t>
  </si>
  <si>
    <t>Premium outdoor apparel, footwear, accessories</t>
  </si>
  <si>
    <t>Backpacks, luggage, apparel</t>
  </si>
  <si>
    <t>Surfing-inspired footwear, apparel, accessories</t>
  </si>
  <si>
    <t>Performance-based merino wool socks, apparel, accessories</t>
  </si>
  <si>
    <t>Backpacks, luggage</t>
  </si>
  <si>
    <t>Women’s activewear</t>
  </si>
  <si>
    <t>Luggage, backpacks, travel accessories</t>
  </si>
  <si>
    <t>Denim, casual apparel, footwear, accessories</t>
  </si>
  <si>
    <t>Denim, casual apparel</t>
  </si>
  <si>
    <t>Occupational apparel</t>
  </si>
  <si>
    <t>Protective occupational apparel</t>
  </si>
  <si>
    <t>Athletic apparel, fanwear</t>
  </si>
  <si>
    <t>Licensed athletic apparel</t>
  </si>
  <si>
    <t>Sportswear apparel, luggage, accessories</t>
  </si>
  <si>
    <t>Premium denim, apparel, footwear, accessories</t>
  </si>
  <si>
    <t>Premium lifestyle apparel, footwear, accessories</t>
  </si>
  <si>
    <t>Primary Products</t>
  </si>
  <si>
    <t>Napapijri</t>
  </si>
  <si>
    <t>Europe</t>
  </si>
  <si>
    <t>Change %</t>
  </si>
  <si>
    <t>Loss from discontinued</t>
  </si>
  <si>
    <t xml:space="preserve">Income from continuing </t>
  </si>
  <si>
    <t>Workrite</t>
  </si>
  <si>
    <t>Kodiak</t>
  </si>
  <si>
    <t>Terra</t>
  </si>
  <si>
    <t>Walls</t>
  </si>
  <si>
    <t>Work and work-inspired lifestyle apparel and footwear</t>
  </si>
  <si>
    <t>Protective work footwear and lifestyle footwear</t>
  </si>
  <si>
    <t>Protective work footwear</t>
  </si>
  <si>
    <t>Outdoor work and hunt apparel</t>
  </si>
  <si>
    <t>Icebreaker</t>
  </si>
  <si>
    <t>Outdoor</t>
  </si>
  <si>
    <t>Active</t>
  </si>
  <si>
    <t>Work</t>
  </si>
  <si>
    <t>Discontinued</t>
  </si>
  <si>
    <t>Eastpak</t>
  </si>
  <si>
    <t>Altra</t>
  </si>
  <si>
    <t>Timberland PRO</t>
  </si>
  <si>
    <t>VF Solutions</t>
  </si>
  <si>
    <t>Wrangler RIGGS</t>
  </si>
  <si>
    <t>High performance apparel based on natural, plant-based, recycled fibers</t>
  </si>
  <si>
    <t>Performance-based footwear</t>
  </si>
  <si>
    <t>Protective work footwear and lifestyle apparel</t>
  </si>
  <si>
    <t>Uniform programs for business and governmental organizations</t>
  </si>
  <si>
    <t>Work apparel, accessories</t>
  </si>
  <si>
    <t>Geographic revenue growth</t>
  </si>
  <si>
    <t>Total</t>
  </si>
  <si>
    <t>Asia-Pacific</t>
  </si>
  <si>
    <t>Americas</t>
  </si>
  <si>
    <t>Global total</t>
  </si>
  <si>
    <t>Supreme</t>
  </si>
  <si>
    <t>Streetwear apparel, footwear, accessories</t>
  </si>
  <si>
    <t>www.thenorthface.com</t>
  </si>
  <si>
    <t>www.timberland.com</t>
  </si>
  <si>
    <t>www.smartwool.com</t>
  </si>
  <si>
    <t>www.altrarunning.com</t>
  </si>
  <si>
    <t>www.icebreaker.com</t>
  </si>
  <si>
    <t>www.vans.com</t>
  </si>
  <si>
    <t>www.supremenewyork.com</t>
  </si>
  <si>
    <t>www.kipling.com</t>
  </si>
  <si>
    <t>www.napapijri.com</t>
  </si>
  <si>
    <t>www.eastpak.com</t>
  </si>
  <si>
    <t>www.jansport.com</t>
  </si>
  <si>
    <t>www.dickies.com</t>
  </si>
  <si>
    <t>VF stores</t>
  </si>
  <si>
    <t>Total segment revenue</t>
  </si>
  <si>
    <t>Total segment profit</t>
  </si>
  <si>
    <t>Total wholesale</t>
  </si>
  <si>
    <t>Total DTC</t>
  </si>
  <si>
    <t>Total royalty</t>
  </si>
  <si>
    <t>Total Channel revenue</t>
  </si>
  <si>
    <t>Top brands revenue</t>
  </si>
  <si>
    <t>(thousands)</t>
  </si>
  <si>
    <t>Global</t>
  </si>
  <si>
    <t>Supreme acquisition of $2.1 billion</t>
  </si>
  <si>
    <t>Expect $500 million revenue in fiscal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</si>
</sst>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70" formatCode="#,##0.0"/>
  </numFmts>
  <fonts count="1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sz val="10"/>
      <color theme="1"/>
      <name val="Times New Roman"/>
      <family val="1"/>
    </font>
    <font>
      <b/>
      <u/>
      <sz val="10"/>
      <color theme="1"/>
      <name val="Arial"/>
      <family val="2"/>
    </font>
    <font>
      <strike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4" fontId="0" fillId="0" borderId="0" xfId="0" applyNumberFormat="1"/>
    <xf numFmtId="9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1" fillId="0" borderId="0" xfId="0" applyNumberFormat="1" applyFont="1"/>
    <xf numFmtId="164" fontId="0" fillId="0" borderId="0" xfId="0" applyNumberFormat="1"/>
    <xf numFmtId="1" fontId="0" fillId="0" borderId="0" xfId="0" applyNumberFormat="1"/>
    <xf numFmtId="9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/>
    </xf>
    <xf numFmtId="0" fontId="5" fillId="0" borderId="0" xfId="0" applyFon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Fill="1"/>
    <xf numFmtId="3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right"/>
    </xf>
    <xf numFmtId="0" fontId="0" fillId="0" borderId="0" xfId="0" applyFont="1" applyFill="1"/>
    <xf numFmtId="3" fontId="0" fillId="0" borderId="0" xfId="0" applyNumberFormat="1" applyFont="1" applyFill="1"/>
    <xf numFmtId="0" fontId="9" fillId="0" borderId="0" xfId="0" applyFont="1"/>
    <xf numFmtId="1" fontId="0" fillId="0" borderId="0" xfId="0" applyNumberFormat="1" applyAlignment="1">
      <alignment horizontal="center"/>
    </xf>
    <xf numFmtId="2" fontId="0" fillId="0" borderId="0" xfId="0" applyNumberFormat="1"/>
    <xf numFmtId="3" fontId="1" fillId="0" borderId="0" xfId="0" applyNumberFormat="1" applyFont="1" applyAlignment="1">
      <alignment horizontal="center"/>
    </xf>
    <xf numFmtId="0" fontId="0" fillId="0" borderId="0" xfId="0" applyFont="1"/>
    <xf numFmtId="3" fontId="0" fillId="0" borderId="0" xfId="0" applyNumberFormat="1" applyFont="1"/>
    <xf numFmtId="9" fontId="0" fillId="0" borderId="0" xfId="0" applyNumberFormat="1" applyFont="1" applyAlignment="1">
      <alignment horizontal="center"/>
    </xf>
    <xf numFmtId="9" fontId="0" fillId="0" borderId="0" xfId="0" applyNumberFormat="1" applyFont="1"/>
    <xf numFmtId="3" fontId="9" fillId="0" borderId="0" xfId="0" applyNumberFormat="1" applyFont="1"/>
    <xf numFmtId="2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/>
    </xf>
    <xf numFmtId="3" fontId="5" fillId="0" borderId="0" xfId="0" applyNumberFormat="1" applyFont="1"/>
    <xf numFmtId="9" fontId="5" fillId="0" borderId="0" xfId="0" applyNumberFormat="1" applyFont="1"/>
    <xf numFmtId="9" fontId="1" fillId="0" borderId="0" xfId="1" applyFont="1"/>
    <xf numFmtId="9" fontId="8" fillId="0" borderId="0" xfId="1" applyFont="1"/>
    <xf numFmtId="9" fontId="8" fillId="0" borderId="0" xfId="1" applyFont="1" applyAlignment="1">
      <alignment horizontal="center"/>
    </xf>
    <xf numFmtId="170" fontId="0" fillId="0" borderId="0" xfId="0" applyNumberFormat="1"/>
    <xf numFmtId="1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5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>
      <alignment horizontal="right"/>
    </xf>
    <xf numFmtId="3" fontId="0" fillId="0" borderId="0" xfId="0" applyNumberFormat="1" applyFont="1" applyFill="1" applyAlignment="1">
      <alignment horizontal="right"/>
    </xf>
    <xf numFmtId="3" fontId="0" fillId="0" borderId="0" xfId="0" applyNumberFormat="1" applyAlignment="1"/>
    <xf numFmtId="3" fontId="0" fillId="0" borderId="0" xfId="0" applyNumberFormat="1" applyAlignment="1">
      <alignment horizontal="left"/>
    </xf>
    <xf numFmtId="3" fontId="1" fillId="0" borderId="0" xfId="0" applyNumberFormat="1" applyFont="1" applyAlignment="1"/>
    <xf numFmtId="3" fontId="12" fillId="0" borderId="0" xfId="0" applyNumberFormat="1" applyFont="1"/>
    <xf numFmtId="3" fontId="0" fillId="0" borderId="1" xfId="0" applyNumberFormat="1" applyBorder="1" applyAlignment="1">
      <alignment horizontal="right"/>
    </xf>
    <xf numFmtId="3" fontId="0" fillId="0" borderId="0" xfId="0" applyNumberFormat="1" applyFont="1" applyAlignment="1">
      <alignment horizontal="left"/>
    </xf>
    <xf numFmtId="3" fontId="0" fillId="0" borderId="1" xfId="0" applyNumberFormat="1" applyBorder="1" applyAlignment="1">
      <alignment horizontal="left"/>
    </xf>
    <xf numFmtId="3" fontId="11" fillId="0" borderId="0" xfId="2" applyNumberFormat="1"/>
    <xf numFmtId="3" fontId="2" fillId="0" borderId="0" xfId="0" applyNumberFormat="1" applyFont="1"/>
    <xf numFmtId="170" fontId="0" fillId="0" borderId="0" xfId="0" applyNumberFormat="1" applyAlignment="1">
      <alignment horizontal="right"/>
    </xf>
    <xf numFmtId="170" fontId="1" fillId="0" borderId="0" xfId="0" applyNumberFormat="1" applyFont="1"/>
    <xf numFmtId="3" fontId="3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3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3" fontId="5" fillId="0" borderId="0" xfId="0" applyNumberFormat="1" applyFont="1" applyFill="1" applyAlignment="1"/>
    <xf numFmtId="3" fontId="0" fillId="0" borderId="0" xfId="0" applyNumberFormat="1" applyFont="1" applyFill="1" applyAlignment="1"/>
    <xf numFmtId="170" fontId="0" fillId="0" borderId="0" xfId="0" applyNumberFormat="1" applyAlignment="1"/>
    <xf numFmtId="3" fontId="0" fillId="0" borderId="0" xfId="0" applyNumberFormat="1" applyFill="1" applyAlignme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0</xdr:row>
      <xdr:rowOff>133350</xdr:rowOff>
    </xdr:from>
    <xdr:to>
      <xdr:col>33</xdr:col>
      <xdr:colOff>28575</xdr:colOff>
      <xdr:row>105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0D77B9-2268-3B7F-62C9-ECC44576A3ED}"/>
            </a:ext>
          </a:extLst>
        </xdr:cNvPr>
        <xdr:cNvCxnSpPr/>
      </xdr:nvCxnSpPr>
      <xdr:spPr>
        <a:xfrm>
          <a:off x="21736050" y="133350"/>
          <a:ext cx="0" cy="17164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0</xdr:row>
      <xdr:rowOff>104775</xdr:rowOff>
    </xdr:from>
    <xdr:to>
      <xdr:col>17</xdr:col>
      <xdr:colOff>19050</xdr:colOff>
      <xdr:row>105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20BD522-7391-41F2-86FB-19E141504039}"/>
            </a:ext>
          </a:extLst>
        </xdr:cNvPr>
        <xdr:cNvCxnSpPr/>
      </xdr:nvCxnSpPr>
      <xdr:spPr>
        <a:xfrm>
          <a:off x="11972925" y="104775"/>
          <a:ext cx="0" cy="17164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ans.com/" TargetMode="External"/><Relationship Id="rId13" Type="http://schemas.openxmlformats.org/officeDocument/2006/relationships/hyperlink" Target="http://www.timberland.com/" TargetMode="External"/><Relationship Id="rId3" Type="http://schemas.openxmlformats.org/officeDocument/2006/relationships/hyperlink" Target="http://www.smartwool.com/" TargetMode="External"/><Relationship Id="rId7" Type="http://schemas.openxmlformats.org/officeDocument/2006/relationships/hyperlink" Target="http://www.napapijri.com/" TargetMode="External"/><Relationship Id="rId12" Type="http://schemas.openxmlformats.org/officeDocument/2006/relationships/hyperlink" Target="http://www.dickies.com/" TargetMode="External"/><Relationship Id="rId2" Type="http://schemas.openxmlformats.org/officeDocument/2006/relationships/hyperlink" Target="http://www.thenorthface.com/" TargetMode="External"/><Relationship Id="rId1" Type="http://schemas.openxmlformats.org/officeDocument/2006/relationships/hyperlink" Target="http://www.timberland.com/" TargetMode="External"/><Relationship Id="rId6" Type="http://schemas.openxmlformats.org/officeDocument/2006/relationships/hyperlink" Target="http://www.supremenewyork.com/" TargetMode="External"/><Relationship Id="rId11" Type="http://schemas.openxmlformats.org/officeDocument/2006/relationships/hyperlink" Target="http://www.jansport.com/" TargetMode="External"/><Relationship Id="rId5" Type="http://schemas.openxmlformats.org/officeDocument/2006/relationships/hyperlink" Target="http://www.altrarunning.com/" TargetMode="External"/><Relationship Id="rId10" Type="http://schemas.openxmlformats.org/officeDocument/2006/relationships/hyperlink" Target="http://www.eastpak.com/" TargetMode="External"/><Relationship Id="rId4" Type="http://schemas.openxmlformats.org/officeDocument/2006/relationships/hyperlink" Target="http://www.icebreaker.com/" TargetMode="External"/><Relationship Id="rId9" Type="http://schemas.openxmlformats.org/officeDocument/2006/relationships/hyperlink" Target="http://www.kipl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4F9A-10A2-4148-9191-6BC13EA09E0F}">
  <dimension ref="B2:Q38"/>
  <sheetViews>
    <sheetView workbookViewId="0">
      <selection activeCell="C9" sqref="C9"/>
    </sheetView>
  </sheetViews>
  <sheetFormatPr defaultRowHeight="12.75" x14ac:dyDescent="0.2"/>
  <cols>
    <col min="1" max="1" width="3.140625" customWidth="1"/>
    <col min="2" max="2" width="16.85546875" customWidth="1"/>
    <col min="4" max="4" width="8.7109375" customWidth="1"/>
  </cols>
  <sheetData>
    <row r="2" spans="2:17" ht="34.5" x14ac:dyDescent="0.45">
      <c r="B2" s="1" t="s">
        <v>0</v>
      </c>
    </row>
    <row r="3" spans="2:17" x14ac:dyDescent="0.2">
      <c r="B3" t="s">
        <v>1</v>
      </c>
    </row>
    <row r="4" spans="2:17" x14ac:dyDescent="0.2">
      <c r="B4" t="s">
        <v>2</v>
      </c>
    </row>
    <row r="5" spans="2:17" x14ac:dyDescent="0.2">
      <c r="C5" s="27" t="s">
        <v>183</v>
      </c>
      <c r="D5" s="2"/>
      <c r="E5" s="2"/>
    </row>
    <row r="6" spans="2:17" x14ac:dyDescent="0.2">
      <c r="C6" s="11" t="s">
        <v>184</v>
      </c>
      <c r="D6" s="11"/>
      <c r="E6" s="11"/>
      <c r="O6" t="s">
        <v>3</v>
      </c>
      <c r="P6" s="5">
        <v>12.82</v>
      </c>
      <c r="Q6" s="3"/>
    </row>
    <row r="7" spans="2:17" x14ac:dyDescent="0.2">
      <c r="O7" t="s">
        <v>4</v>
      </c>
      <c r="P7" s="2">
        <v>388.81595600000003</v>
      </c>
      <c r="Q7" s="3" t="s">
        <v>10</v>
      </c>
    </row>
    <row r="8" spans="2:17" x14ac:dyDescent="0.2">
      <c r="E8" s="23"/>
      <c r="O8" t="s">
        <v>5</v>
      </c>
      <c r="P8" s="2">
        <f>+P6*P7</f>
        <v>4984.6205559200007</v>
      </c>
      <c r="Q8" s="3"/>
    </row>
    <row r="9" spans="2:17" x14ac:dyDescent="0.2">
      <c r="O9" t="s">
        <v>6</v>
      </c>
      <c r="P9" s="2">
        <v>955.00599999999997</v>
      </c>
      <c r="Q9" s="3" t="s">
        <v>10</v>
      </c>
    </row>
    <row r="10" spans="2:17" x14ac:dyDescent="0.2">
      <c r="E10" s="23"/>
      <c r="O10" t="s">
        <v>7</v>
      </c>
      <c r="P10" s="2">
        <f>452.286+1000.596+4755.252</f>
        <v>6208.134</v>
      </c>
      <c r="Q10" s="3" t="s">
        <v>10</v>
      </c>
    </row>
    <row r="11" spans="2:17" x14ac:dyDescent="0.2">
      <c r="O11" t="s">
        <v>8</v>
      </c>
      <c r="P11" s="2">
        <f>+P8-P9+P10</f>
        <v>10237.748555920001</v>
      </c>
      <c r="Q11" s="3"/>
    </row>
    <row r="12" spans="2:17" x14ac:dyDescent="0.2">
      <c r="D12" s="2"/>
      <c r="E12" s="2"/>
      <c r="P12" s="2">
        <v>1283</v>
      </c>
    </row>
    <row r="13" spans="2:17" x14ac:dyDescent="0.2">
      <c r="O13" t="s">
        <v>69</v>
      </c>
      <c r="P13" s="10">
        <f>+P11/P12</f>
        <v>7.9795390147466883</v>
      </c>
    </row>
    <row r="17" spans="3:15" x14ac:dyDescent="0.2">
      <c r="C17" s="14"/>
      <c r="D17" s="21"/>
      <c r="E17" s="21"/>
    </row>
    <row r="18" spans="3:15" x14ac:dyDescent="0.2">
      <c r="O18" t="s">
        <v>44</v>
      </c>
    </row>
    <row r="19" spans="3:15" x14ac:dyDescent="0.2">
      <c r="C19" s="2"/>
      <c r="O19" t="s">
        <v>45</v>
      </c>
    </row>
    <row r="21" spans="3:15" x14ac:dyDescent="0.2">
      <c r="D21" s="2"/>
      <c r="E21" s="2"/>
    </row>
    <row r="25" spans="3:15" x14ac:dyDescent="0.2">
      <c r="E25" s="23"/>
    </row>
    <row r="26" spans="3:15" x14ac:dyDescent="0.2">
      <c r="E26" s="23"/>
    </row>
    <row r="27" spans="3:15" x14ac:dyDescent="0.2">
      <c r="E27" s="23"/>
    </row>
    <row r="35" spans="3:3" x14ac:dyDescent="0.2">
      <c r="C35" s="2"/>
    </row>
    <row r="38" spans="3:3" x14ac:dyDescent="0.2">
      <c r="C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3E9F-57A4-4250-94E7-1A34A2367392}">
  <dimension ref="B1:AQ105"/>
  <sheetViews>
    <sheetView workbookViewId="0">
      <pane xSplit="2" ySplit="4" topLeftCell="C5" activePane="bottomRight" state="frozen"/>
      <selection pane="topRight" activeCell="B1" sqref="B1"/>
      <selection pane="bottomLeft" activeCell="A4" sqref="A4"/>
      <selection pane="bottomRight" activeCell="K4" sqref="K4:R4"/>
    </sheetView>
  </sheetViews>
  <sheetFormatPr defaultRowHeight="12.75" x14ac:dyDescent="0.2"/>
  <cols>
    <col min="1" max="1" width="2.85546875" style="2" customWidth="1"/>
    <col min="2" max="2" width="24.140625" customWidth="1"/>
    <col min="3" max="3" width="10.85546875" style="2" customWidth="1"/>
    <col min="4" max="4" width="10" style="2" customWidth="1"/>
    <col min="5" max="8" width="10.140625" style="2" bestFit="1" customWidth="1"/>
    <col min="9" max="9" width="9.85546875" style="2" customWidth="1"/>
    <col min="10" max="10" width="10" style="2" customWidth="1"/>
    <col min="11" max="17" width="10.140625" style="2" bestFit="1" customWidth="1"/>
    <col min="18" max="16384" width="9.140625" style="2"/>
  </cols>
  <sheetData>
    <row r="1" spans="2:43" ht="12" customHeight="1" x14ac:dyDescent="0.2"/>
    <row r="2" spans="2:43" customFormat="1" ht="34.5" x14ac:dyDescent="0.45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2:43" customFormat="1" x14ac:dyDescent="0.2">
      <c r="B3" t="s">
        <v>1</v>
      </c>
      <c r="C3" s="4">
        <v>44012</v>
      </c>
      <c r="D3" s="4">
        <v>44104</v>
      </c>
      <c r="E3" s="4">
        <v>44196</v>
      </c>
      <c r="F3" s="4">
        <v>44286</v>
      </c>
      <c r="G3" s="4">
        <v>44377</v>
      </c>
      <c r="H3" s="4">
        <v>44469</v>
      </c>
      <c r="I3" s="4">
        <v>44561</v>
      </c>
      <c r="J3" s="4">
        <v>44651</v>
      </c>
      <c r="K3" s="4">
        <v>44742</v>
      </c>
      <c r="L3" s="4">
        <v>44834</v>
      </c>
      <c r="M3" s="4">
        <v>44926</v>
      </c>
      <c r="N3" s="4">
        <v>45016</v>
      </c>
      <c r="O3" s="4">
        <v>45107</v>
      </c>
      <c r="P3" s="4">
        <v>45199</v>
      </c>
      <c r="Q3" s="4">
        <v>45291</v>
      </c>
    </row>
    <row r="4" spans="2:43" s="3" customFormat="1" x14ac:dyDescent="0.2">
      <c r="B4" t="s">
        <v>2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10</v>
      </c>
      <c r="R4" s="3" t="s">
        <v>9</v>
      </c>
      <c r="W4" s="3">
        <v>2013</v>
      </c>
      <c r="X4" s="3">
        <f>+W4+1</f>
        <v>2014</v>
      </c>
      <c r="Y4" s="3">
        <f t="shared" ref="Y4:AQ4" si="0">+X4+1</f>
        <v>2015</v>
      </c>
      <c r="Z4" s="3">
        <f t="shared" si="0"/>
        <v>2016</v>
      </c>
      <c r="AA4" s="3">
        <f t="shared" si="0"/>
        <v>2017</v>
      </c>
      <c r="AB4" s="3">
        <f t="shared" si="0"/>
        <v>2018</v>
      </c>
      <c r="AC4" s="3">
        <f t="shared" si="0"/>
        <v>2019</v>
      </c>
      <c r="AD4" s="3">
        <f t="shared" si="0"/>
        <v>2020</v>
      </c>
      <c r="AE4" s="3">
        <f t="shared" si="0"/>
        <v>2021</v>
      </c>
      <c r="AF4" s="3">
        <f t="shared" si="0"/>
        <v>2022</v>
      </c>
      <c r="AG4" s="3">
        <f t="shared" si="0"/>
        <v>2023</v>
      </c>
      <c r="AH4" s="3">
        <f t="shared" si="0"/>
        <v>2024</v>
      </c>
      <c r="AI4" s="3">
        <f t="shared" si="0"/>
        <v>2025</v>
      </c>
      <c r="AJ4" s="3">
        <f t="shared" si="0"/>
        <v>2026</v>
      </c>
      <c r="AK4" s="3">
        <f t="shared" si="0"/>
        <v>2027</v>
      </c>
      <c r="AL4" s="3">
        <f t="shared" si="0"/>
        <v>2028</v>
      </c>
      <c r="AM4" s="3">
        <f t="shared" si="0"/>
        <v>2029</v>
      </c>
      <c r="AN4" s="3">
        <f t="shared" si="0"/>
        <v>2030</v>
      </c>
      <c r="AO4" s="3">
        <f t="shared" si="0"/>
        <v>2031</v>
      </c>
      <c r="AP4" s="3">
        <f t="shared" si="0"/>
        <v>2032</v>
      </c>
      <c r="AQ4" s="3">
        <f t="shared" si="0"/>
        <v>2033</v>
      </c>
    </row>
    <row r="5" spans="2:43" s="16" customFormat="1" x14ac:dyDescent="0.2">
      <c r="B5" s="49" t="s">
        <v>140</v>
      </c>
      <c r="P5" s="16">
        <v>2003.0450000000001</v>
      </c>
      <c r="Q5" s="16">
        <v>1738.579</v>
      </c>
      <c r="Y5" s="2"/>
      <c r="AC5" s="31"/>
    </row>
    <row r="6" spans="2:43" s="16" customFormat="1" x14ac:dyDescent="0.2">
      <c r="B6" s="49" t="s">
        <v>141</v>
      </c>
      <c r="P6" s="16">
        <v>1258.682</v>
      </c>
      <c r="Q6" s="16">
        <v>999.39599999999996</v>
      </c>
      <c r="Y6" s="2"/>
      <c r="AC6" s="31"/>
    </row>
    <row r="7" spans="2:43" s="16" customFormat="1" x14ac:dyDescent="0.2">
      <c r="B7" s="49" t="s">
        <v>142</v>
      </c>
      <c r="P7" s="16">
        <v>268.94</v>
      </c>
      <c r="Q7" s="16">
        <v>222.30799999999999</v>
      </c>
      <c r="Y7" s="2"/>
      <c r="AC7" s="31"/>
    </row>
    <row r="8" spans="2:43" s="16" customFormat="1" x14ac:dyDescent="0.2">
      <c r="B8" s="49" t="s">
        <v>67</v>
      </c>
      <c r="P8" s="16">
        <v>0</v>
      </c>
      <c r="Q8" s="16">
        <v>0</v>
      </c>
      <c r="Y8" s="2"/>
      <c r="AC8" s="31"/>
    </row>
    <row r="9" spans="2:43" s="17" customFormat="1" x14ac:dyDescent="0.2">
      <c r="B9" s="50" t="s">
        <v>174</v>
      </c>
      <c r="P9" s="17">
        <f>+SUM(P5:P8)</f>
        <v>3530.6669999999999</v>
      </c>
      <c r="Q9" s="17">
        <f>+SUM(Q5:Q8)</f>
        <v>2960.2829999999999</v>
      </c>
      <c r="Y9" s="8"/>
      <c r="AC9" s="51"/>
    </row>
    <row r="10" spans="2:43" s="16" customFormat="1" x14ac:dyDescent="0.2">
      <c r="B10" s="49" t="s">
        <v>140</v>
      </c>
      <c r="P10" s="16">
        <v>457.02699999999999</v>
      </c>
      <c r="Q10" s="16">
        <v>304.74099999999999</v>
      </c>
      <c r="Y10" s="2"/>
      <c r="AC10" s="31"/>
    </row>
    <row r="11" spans="2:43" s="16" customFormat="1" x14ac:dyDescent="0.2">
      <c r="B11" s="49" t="s">
        <v>141</v>
      </c>
      <c r="P11" s="16">
        <v>146.88499999999999</v>
      </c>
      <c r="Q11" s="16">
        <v>94.02</v>
      </c>
      <c r="Y11" s="2">
        <v>1401</v>
      </c>
      <c r="Z11" s="16">
        <v>1520</v>
      </c>
      <c r="AA11" s="16">
        <v>1433</v>
      </c>
      <c r="AB11" s="16">
        <v>1518</v>
      </c>
      <c r="AC11" s="31">
        <v>1551</v>
      </c>
      <c r="AD11" s="16">
        <v>1379</v>
      </c>
    </row>
    <row r="12" spans="2:43" s="16" customFormat="1" x14ac:dyDescent="0.2">
      <c r="B12" s="49" t="s">
        <v>142</v>
      </c>
      <c r="P12" s="16">
        <v>18.486999999999998</v>
      </c>
      <c r="Q12" s="16">
        <v>-1.8640000000000001</v>
      </c>
      <c r="Y12" s="2"/>
      <c r="AC12" s="31"/>
    </row>
    <row r="13" spans="2:43" s="16" customFormat="1" x14ac:dyDescent="0.2">
      <c r="B13" s="49" t="s">
        <v>67</v>
      </c>
      <c r="P13" s="16">
        <v>-0.13400000000000001</v>
      </c>
      <c r="Q13" s="16">
        <v>0</v>
      </c>
      <c r="Y13" s="2">
        <v>327.548</v>
      </c>
      <c r="Z13" s="16">
        <v>343.86900000000003</v>
      </c>
      <c r="AA13" s="16">
        <v>379.77499999999998</v>
      </c>
      <c r="AB13" s="16">
        <v>379.62700000000001</v>
      </c>
      <c r="AC13" s="16">
        <v>420.81099999999998</v>
      </c>
      <c r="AD13" s="16">
        <v>383.38200000000001</v>
      </c>
    </row>
    <row r="14" spans="2:43" s="17" customFormat="1" x14ac:dyDescent="0.2">
      <c r="B14" s="50" t="s">
        <v>175</v>
      </c>
      <c r="P14" s="17">
        <f>+SUM(P10:P13)</f>
        <v>622.26499999999999</v>
      </c>
      <c r="Q14" s="17">
        <f>+SUM(Q10:Q13)</f>
        <v>396.89699999999999</v>
      </c>
      <c r="Y14" s="8"/>
    </row>
    <row r="15" spans="2:43" s="52" customFormat="1" x14ac:dyDescent="0.2">
      <c r="B15" s="54" t="s">
        <v>140</v>
      </c>
      <c r="P15" s="52">
        <v>973.29200000000003</v>
      </c>
      <c r="Q15" s="52">
        <v>734.13</v>
      </c>
      <c r="AC15" s="52">
        <v>2865.63</v>
      </c>
      <c r="AD15" s="52">
        <v>2855.0430000000001</v>
      </c>
      <c r="AE15" s="52">
        <v>2363.5749999999998</v>
      </c>
      <c r="AF15" s="52">
        <v>3194.8809999999999</v>
      </c>
      <c r="AG15" s="52">
        <v>3378.3429999999998</v>
      </c>
    </row>
    <row r="16" spans="2:43" s="16" customFormat="1" x14ac:dyDescent="0.2">
      <c r="B16" s="49" t="s">
        <v>141</v>
      </c>
      <c r="P16" s="16">
        <v>401.52100000000002</v>
      </c>
      <c r="Q16" s="16">
        <v>264.60599999999999</v>
      </c>
      <c r="AC16" s="16">
        <v>2460.692</v>
      </c>
      <c r="AD16" s="16">
        <v>2479.9650000000001</v>
      </c>
      <c r="AE16" s="16">
        <v>1970.6990000000001</v>
      </c>
      <c r="AF16" s="16">
        <v>2256.444</v>
      </c>
      <c r="AG16" s="16">
        <v>2082.875</v>
      </c>
    </row>
    <row r="17" spans="2:33" s="16" customFormat="1" x14ac:dyDescent="0.2">
      <c r="B17" s="49" t="s">
        <v>142</v>
      </c>
      <c r="P17" s="16">
        <v>198.95599999999999</v>
      </c>
      <c r="Q17" s="16">
        <v>157.84100000000001</v>
      </c>
      <c r="AC17" s="16">
        <v>739.45650000000001</v>
      </c>
      <c r="AD17" s="16">
        <v>723.923</v>
      </c>
      <c r="AE17" s="16">
        <v>736.92100000000005</v>
      </c>
      <c r="AF17" s="16">
        <v>919.08</v>
      </c>
      <c r="AG17" s="16">
        <v>847.72900000000004</v>
      </c>
    </row>
    <row r="18" spans="2:33" s="16" customFormat="1" x14ac:dyDescent="0.2">
      <c r="B18" s="49" t="s">
        <v>67</v>
      </c>
      <c r="P18" s="16">
        <v>0</v>
      </c>
      <c r="Q18" s="16">
        <v>0</v>
      </c>
      <c r="AC18" s="16">
        <v>10.323</v>
      </c>
      <c r="AD18" s="16">
        <v>29.975999999999999</v>
      </c>
      <c r="AE18" s="16">
        <v>4.3719999999999999</v>
      </c>
      <c r="AF18" s="16">
        <v>0.78500000000000003</v>
      </c>
      <c r="AG18" s="16">
        <v>0.14799999999999999</v>
      </c>
    </row>
    <row r="19" spans="2:33" s="17" customFormat="1" x14ac:dyDescent="0.2">
      <c r="B19" s="8" t="s">
        <v>176</v>
      </c>
      <c r="P19" s="17">
        <f>+SUM(P15:P18)</f>
        <v>1573.769</v>
      </c>
      <c r="Q19" s="17">
        <f>+SUM(Q15:Q18)</f>
        <v>1156.577</v>
      </c>
      <c r="AC19" s="17">
        <f>+SUM(AC15:AC18)</f>
        <v>6076.1015000000007</v>
      </c>
      <c r="AD19" s="17">
        <f>+SUM(AD15:AD18)</f>
        <v>6088.9069999999992</v>
      </c>
      <c r="AE19" s="17">
        <f>+SUM(AE15:AE18)</f>
        <v>5075.567</v>
      </c>
      <c r="AF19" s="17">
        <f>+SUM(AF15:AF18)</f>
        <v>6371.19</v>
      </c>
      <c r="AG19" s="17">
        <f>+SUM(AG15:AG18)</f>
        <v>6309.0950000000003</v>
      </c>
    </row>
    <row r="20" spans="2:33" s="16" customFormat="1" x14ac:dyDescent="0.2">
      <c r="B20" s="49" t="s">
        <v>140</v>
      </c>
      <c r="P20" s="16">
        <v>1023.428</v>
      </c>
      <c r="Q20" s="16">
        <v>999.69399999999996</v>
      </c>
      <c r="AC20" s="16">
        <v>1770.58</v>
      </c>
      <c r="AD20" s="16">
        <v>1775.127</v>
      </c>
      <c r="AE20" s="16">
        <v>1753.923</v>
      </c>
      <c r="AF20" s="16">
        <v>2115.056</v>
      </c>
      <c r="AG20" s="16">
        <v>2252.9580000000001</v>
      </c>
    </row>
    <row r="21" spans="2:33" s="16" customFormat="1" x14ac:dyDescent="0.2">
      <c r="B21" s="49" t="s">
        <v>141</v>
      </c>
      <c r="P21" s="16">
        <v>850.16700000000003</v>
      </c>
      <c r="Q21" s="16">
        <v>728.47900000000004</v>
      </c>
      <c r="AC21" s="16">
        <v>2234.0529999999999</v>
      </c>
      <c r="AD21" s="16">
        <v>2417.386</v>
      </c>
      <c r="AE21" s="16">
        <v>2167.9290000000001</v>
      </c>
      <c r="AF21" s="16">
        <v>3102.2310000000002</v>
      </c>
      <c r="AG21" s="16">
        <v>2791.9360000000001</v>
      </c>
    </row>
    <row r="22" spans="2:33" s="16" customFormat="1" x14ac:dyDescent="0.2">
      <c r="B22" s="49" t="s">
        <v>142</v>
      </c>
      <c r="P22" s="16">
        <v>63.773000000000003</v>
      </c>
      <c r="Q22" s="16">
        <v>58.037999999999997</v>
      </c>
      <c r="AC22" s="16">
        <v>125.76900000000001</v>
      </c>
      <c r="AD22" s="16">
        <v>140.92400000000001</v>
      </c>
      <c r="AE22" s="16">
        <v>191.40899999999999</v>
      </c>
      <c r="AF22" s="16">
        <v>186.78800000000001</v>
      </c>
      <c r="AG22" s="16">
        <v>186.46199999999999</v>
      </c>
    </row>
    <row r="23" spans="2:33" s="33" customFormat="1" x14ac:dyDescent="0.2">
      <c r="B23" s="53" t="s">
        <v>67</v>
      </c>
      <c r="P23" s="33">
        <v>0</v>
      </c>
      <c r="Q23" s="16">
        <v>0</v>
      </c>
      <c r="AC23" s="33">
        <v>0</v>
      </c>
      <c r="AD23" s="33">
        <v>8.7780000000000005</v>
      </c>
      <c r="AE23" s="33">
        <v>0.32100000000000001</v>
      </c>
      <c r="AF23" s="33">
        <v>0</v>
      </c>
      <c r="AG23" s="33">
        <v>0</v>
      </c>
    </row>
    <row r="24" spans="2:33" s="17" customFormat="1" x14ac:dyDescent="0.2">
      <c r="B24" s="8" t="s">
        <v>177</v>
      </c>
      <c r="P24" s="17">
        <f>+SUM(P20:P23)</f>
        <v>1937.3679999999999</v>
      </c>
      <c r="Q24" s="17">
        <f>+SUM(Q20:Q23)</f>
        <v>1786.211</v>
      </c>
      <c r="AC24" s="17">
        <f>+SUM(AC20:AC23)</f>
        <v>4130.402</v>
      </c>
      <c r="AD24" s="17">
        <f>+SUM(AD20:AD23)</f>
        <v>4342.2150000000001</v>
      </c>
      <c r="AE24" s="17">
        <f>+SUM(AE20:AE23)</f>
        <v>4113.5819999999994</v>
      </c>
      <c r="AF24" s="17">
        <f>+SUM(AF20:AF23)</f>
        <v>5404.0750000000007</v>
      </c>
      <c r="AG24" s="17">
        <f>+SUM(AG20:AG23)</f>
        <v>5231.3559999999998</v>
      </c>
    </row>
    <row r="25" spans="2:33" s="16" customFormat="1" x14ac:dyDescent="0.2">
      <c r="B25" s="49" t="s">
        <v>140</v>
      </c>
      <c r="P25" s="16">
        <v>6.3250000000000002</v>
      </c>
      <c r="Q25" s="16">
        <v>4.7549999999999999</v>
      </c>
      <c r="AC25" s="16">
        <v>12.814</v>
      </c>
      <c r="AD25" s="16">
        <v>13.786</v>
      </c>
      <c r="AE25" s="16">
        <v>10.103</v>
      </c>
      <c r="AF25" s="16">
        <v>17.631</v>
      </c>
      <c r="AG25" s="16">
        <v>19.225000000000001</v>
      </c>
    </row>
    <row r="26" spans="2:33" s="16" customFormat="1" x14ac:dyDescent="0.2">
      <c r="B26" s="49" t="s">
        <v>141</v>
      </c>
      <c r="P26" s="16">
        <v>6.9939999999999998</v>
      </c>
      <c r="Q26" s="16">
        <v>6.3109999999999999</v>
      </c>
      <c r="AC26" s="16">
        <v>27.047000000000001</v>
      </c>
      <c r="AD26" s="16">
        <v>22.076000000000001</v>
      </c>
      <c r="AE26" s="16">
        <v>22.228000000000002</v>
      </c>
      <c r="AF26" s="16">
        <v>21.663</v>
      </c>
      <c r="AG26" s="16">
        <v>29.811</v>
      </c>
    </row>
    <row r="27" spans="2:33" s="16" customFormat="1" x14ac:dyDescent="0.2">
      <c r="B27" s="49" t="s">
        <v>142</v>
      </c>
      <c r="P27" s="16">
        <v>6.2110000000000003</v>
      </c>
      <c r="Q27" s="16">
        <v>6.4290000000000003</v>
      </c>
      <c r="AC27" s="16">
        <v>20.513999999999999</v>
      </c>
      <c r="AD27" s="16">
        <v>21.571999999999999</v>
      </c>
      <c r="AE27" s="16">
        <v>19.36</v>
      </c>
      <c r="AF27" s="16">
        <v>27.280999999999999</v>
      </c>
      <c r="AG27" s="16">
        <v>25.988</v>
      </c>
    </row>
    <row r="28" spans="2:33" s="33" customFormat="1" x14ac:dyDescent="0.2">
      <c r="B28" s="53" t="s">
        <v>67</v>
      </c>
      <c r="P28" s="33">
        <v>0</v>
      </c>
      <c r="Q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</row>
    <row r="29" spans="2:33" s="17" customFormat="1" x14ac:dyDescent="0.2">
      <c r="B29" s="8" t="s">
        <v>178</v>
      </c>
      <c r="P29" s="17">
        <f>+SUM(P25:P28)</f>
        <v>19.53</v>
      </c>
      <c r="Q29" s="17">
        <f>+SUM(Q25:Q28)</f>
        <v>17.494999999999997</v>
      </c>
      <c r="AC29" s="17">
        <f>+SUM(AC25:AC28)</f>
        <v>60.375</v>
      </c>
      <c r="AD29" s="17">
        <f>+SUM(AD25:AD28)</f>
        <v>57.433999999999997</v>
      </c>
      <c r="AE29" s="17">
        <f>+SUM(AE25:AE28)</f>
        <v>51.691000000000003</v>
      </c>
      <c r="AF29" s="17">
        <f>+SUM(AF25:AF28)</f>
        <v>66.574999999999989</v>
      </c>
      <c r="AG29" s="17">
        <f>+SUM(AG25:AG28)</f>
        <v>75.024000000000001</v>
      </c>
    </row>
    <row r="30" spans="2:33" s="16" customFormat="1" x14ac:dyDescent="0.2">
      <c r="B30" s="2" t="s">
        <v>179</v>
      </c>
      <c r="P30" s="16">
        <f>+P19+P24+P29</f>
        <v>3530.6669999999999</v>
      </c>
      <c r="Q30" s="16">
        <f>+Q19+Q24+Q29</f>
        <v>2960.2829999999999</v>
      </c>
    </row>
    <row r="31" spans="2:33" s="16" customFormat="1" x14ac:dyDescent="0.2">
      <c r="B31" s="2"/>
    </row>
    <row r="32" spans="2:33" s="16" customFormat="1" x14ac:dyDescent="0.2">
      <c r="B32" s="2"/>
    </row>
    <row r="33" spans="2:33" s="16" customFormat="1" x14ac:dyDescent="0.2">
      <c r="B33" s="2"/>
    </row>
    <row r="34" spans="2:33" x14ac:dyDescent="0.2">
      <c r="B34" t="s">
        <v>25</v>
      </c>
      <c r="C34" s="2">
        <v>1076.2929999999999</v>
      </c>
      <c r="D34" s="2">
        <v>2608.3240000000001</v>
      </c>
      <c r="E34" s="2">
        <v>2971.5410000000002</v>
      </c>
      <c r="F34" s="2">
        <v>2582.672</v>
      </c>
      <c r="G34" s="2">
        <v>2194.5569999999998</v>
      </c>
      <c r="H34" s="2">
        <v>3198.2350000000001</v>
      </c>
      <c r="I34" s="2">
        <v>3624.384</v>
      </c>
      <c r="J34" s="2">
        <v>2824.6640000000002</v>
      </c>
      <c r="K34" s="2">
        <v>2261.5949999999998</v>
      </c>
      <c r="L34" s="2">
        <v>3080.6</v>
      </c>
      <c r="M34" s="2">
        <v>3530.6669999999999</v>
      </c>
      <c r="N34" s="2">
        <v>2739.6129999999998</v>
      </c>
      <c r="O34" s="2">
        <v>2086.3359999999998</v>
      </c>
      <c r="P34" s="2">
        <v>3034.239</v>
      </c>
      <c r="Q34" s="2">
        <v>2960.2829999999999</v>
      </c>
      <c r="W34" s="2">
        <v>10879.855</v>
      </c>
      <c r="X34" s="2">
        <v>11419.647999999999</v>
      </c>
      <c r="Y34" s="2">
        <v>12282.161</v>
      </c>
      <c r="Z34" s="2">
        <v>10996.393</v>
      </c>
      <c r="AA34" s="2">
        <v>11026.147000000001</v>
      </c>
      <c r="AB34" s="2">
        <v>11811.177</v>
      </c>
      <c r="AC34" s="2">
        <v>10266.887000000001</v>
      </c>
      <c r="AD34" s="2">
        <v>10488.556</v>
      </c>
      <c r="AE34" s="2">
        <v>9238.83</v>
      </c>
      <c r="AF34" s="2">
        <v>11841.84</v>
      </c>
      <c r="AG34" s="2">
        <v>11612.475</v>
      </c>
    </row>
    <row r="35" spans="2:33" x14ac:dyDescent="0.2">
      <c r="B35" t="s">
        <v>26</v>
      </c>
      <c r="C35" s="2">
        <v>506.95100000000002</v>
      </c>
      <c r="D35" s="2">
        <v>1282.4059999999999</v>
      </c>
      <c r="E35" s="2">
        <v>1345.0239999999999</v>
      </c>
      <c r="F35" s="2">
        <v>1236.3989999999999</v>
      </c>
      <c r="G35" s="2">
        <v>955.55100000000004</v>
      </c>
      <c r="H35" s="2">
        <v>1479.4459999999999</v>
      </c>
      <c r="I35" s="2">
        <v>1592.604</v>
      </c>
      <c r="J35" s="2">
        <v>1358.7919999999999</v>
      </c>
      <c r="K35" s="2">
        <v>1042.982</v>
      </c>
      <c r="L35" s="2">
        <v>1498.1769999999999</v>
      </c>
      <c r="M35" s="2">
        <v>1593.048</v>
      </c>
      <c r="N35" s="2">
        <v>1381.5889999999999</v>
      </c>
      <c r="O35" s="2">
        <v>985.26900000000001</v>
      </c>
      <c r="P35" s="2">
        <v>1479.028</v>
      </c>
      <c r="Q35" s="2">
        <v>1327.8710000000001</v>
      </c>
      <c r="W35" s="2">
        <v>5817.88</v>
      </c>
      <c r="X35" s="2">
        <v>5931.4690000000001</v>
      </c>
      <c r="Y35" s="2">
        <v>6288.19</v>
      </c>
      <c r="Z35" s="2">
        <v>5603.7659999999996</v>
      </c>
      <c r="AA35" s="2">
        <v>5589.9229999999998</v>
      </c>
      <c r="AB35" s="2">
        <v>5844.9409999999998</v>
      </c>
      <c r="AC35" s="2">
        <v>4656.326</v>
      </c>
      <c r="AD35" s="2">
        <v>4690.5200000000004</v>
      </c>
      <c r="AE35" s="2">
        <v>4370.78</v>
      </c>
      <c r="AF35" s="2">
        <v>5386.393</v>
      </c>
      <c r="AG35" s="2">
        <v>5515.7960000000003</v>
      </c>
    </row>
    <row r="36" spans="2:33" s="8" customFormat="1" x14ac:dyDescent="0.2">
      <c r="B36" s="7" t="s">
        <v>27</v>
      </c>
      <c r="C36" s="8">
        <f t="shared" ref="C36:D36" si="1">+C34-C35</f>
        <v>569.34199999999987</v>
      </c>
      <c r="D36" s="8">
        <f t="shared" si="1"/>
        <v>1325.9180000000001</v>
      </c>
      <c r="E36" s="8">
        <f t="shared" ref="E36:I36" si="2">+E34-E35</f>
        <v>1626.5170000000003</v>
      </c>
      <c r="F36" s="8">
        <f t="shared" si="2"/>
        <v>1346.2730000000001</v>
      </c>
      <c r="G36" s="8">
        <f t="shared" si="2"/>
        <v>1239.0059999999999</v>
      </c>
      <c r="H36" s="8">
        <f t="shared" si="2"/>
        <v>1718.7890000000002</v>
      </c>
      <c r="I36" s="8">
        <f t="shared" si="2"/>
        <v>2031.78</v>
      </c>
      <c r="J36" s="8">
        <f t="shared" ref="J36:Q36" si="3">+J34-J35</f>
        <v>1465.8720000000003</v>
      </c>
      <c r="K36" s="8">
        <f t="shared" si="3"/>
        <v>1218.6129999999998</v>
      </c>
      <c r="L36" s="8">
        <f t="shared" si="3"/>
        <v>1582.423</v>
      </c>
      <c r="M36" s="8">
        <f t="shared" si="3"/>
        <v>1937.6189999999999</v>
      </c>
      <c r="N36" s="8">
        <f t="shared" si="3"/>
        <v>1358.0239999999999</v>
      </c>
      <c r="O36" s="8">
        <f t="shared" si="3"/>
        <v>1101.0669999999998</v>
      </c>
      <c r="P36" s="8">
        <f t="shared" si="3"/>
        <v>1555.211</v>
      </c>
      <c r="Q36" s="8">
        <f t="shared" si="3"/>
        <v>1632.4119999999998</v>
      </c>
      <c r="W36" s="8">
        <f t="shared" ref="W36:AG36" si="4">+W34-W35</f>
        <v>5061.9749999999995</v>
      </c>
      <c r="X36" s="8">
        <f t="shared" si="4"/>
        <v>5488.1789999999992</v>
      </c>
      <c r="Y36" s="8">
        <f t="shared" si="4"/>
        <v>5993.9710000000005</v>
      </c>
      <c r="Z36" s="8">
        <f t="shared" si="4"/>
        <v>5392.6270000000004</v>
      </c>
      <c r="AA36" s="8">
        <f t="shared" si="4"/>
        <v>5436.2240000000011</v>
      </c>
      <c r="AB36" s="8">
        <f t="shared" si="4"/>
        <v>5966.2359999999999</v>
      </c>
      <c r="AC36" s="8">
        <f t="shared" si="4"/>
        <v>5610.5610000000006</v>
      </c>
      <c r="AD36" s="8">
        <f t="shared" si="4"/>
        <v>5798.0360000000001</v>
      </c>
      <c r="AE36" s="8">
        <f t="shared" si="4"/>
        <v>4868.05</v>
      </c>
      <c r="AF36" s="8">
        <f t="shared" si="4"/>
        <v>6455.4470000000001</v>
      </c>
      <c r="AG36" s="8">
        <f t="shared" si="4"/>
        <v>6096.6790000000001</v>
      </c>
    </row>
    <row r="37" spans="2:33" x14ac:dyDescent="0.2">
      <c r="B37" t="s">
        <v>28</v>
      </c>
      <c r="C37" s="2">
        <v>816.15099999999995</v>
      </c>
      <c r="D37" s="2">
        <v>1005.97</v>
      </c>
      <c r="E37" s="2">
        <v>1214.518</v>
      </c>
      <c r="F37" s="2">
        <v>1211.25</v>
      </c>
      <c r="G37" s="2">
        <v>1036.1220000000001</v>
      </c>
      <c r="H37" s="2">
        <v>1160.3030000000001</v>
      </c>
      <c r="I37" s="2">
        <v>1353.338</v>
      </c>
      <c r="J37" s="2">
        <v>1273.48</v>
      </c>
      <c r="K37" s="2">
        <v>1155.251</v>
      </c>
      <c r="L37" s="2">
        <v>1251.32</v>
      </c>
      <c r="M37" s="2">
        <v>1421.586</v>
      </c>
      <c r="N37" s="2">
        <v>1205.82</v>
      </c>
      <c r="O37" s="2">
        <v>1110.059</v>
      </c>
      <c r="P37" s="2">
        <v>1192.2840000000001</v>
      </c>
      <c r="Q37" s="2">
        <v>1407.548</v>
      </c>
      <c r="W37" s="2">
        <v>3596.7080000000001</v>
      </c>
      <c r="X37" s="2">
        <v>3841.0320000000002</v>
      </c>
      <c r="Y37" s="2">
        <v>4159.8850000000002</v>
      </c>
      <c r="Z37" s="2">
        <v>3747.799</v>
      </c>
      <c r="AA37" s="2">
        <v>3988.32</v>
      </c>
      <c r="AB37" s="2">
        <v>4463.1459999999997</v>
      </c>
      <c r="AC37" s="2">
        <v>4420.3789999999999</v>
      </c>
      <c r="AD37" s="2">
        <v>4547.0079999999998</v>
      </c>
      <c r="AE37" s="2">
        <v>4240.058</v>
      </c>
      <c r="AF37" s="2">
        <v>4823.2430000000004</v>
      </c>
      <c r="AG37" s="2">
        <v>5033.9769999999999</v>
      </c>
    </row>
    <row r="38" spans="2:33" s="8" customFormat="1" x14ac:dyDescent="0.2">
      <c r="B38" s="7" t="s">
        <v>29</v>
      </c>
      <c r="C38" s="8">
        <f t="shared" ref="C38:D38" si="5">+C36-C37</f>
        <v>-246.80900000000008</v>
      </c>
      <c r="D38" s="8">
        <f t="shared" si="5"/>
        <v>319.94800000000009</v>
      </c>
      <c r="E38" s="8">
        <f t="shared" ref="E38:I38" si="6">+E36-E37</f>
        <v>411.99900000000025</v>
      </c>
      <c r="F38" s="8">
        <f t="shared" si="6"/>
        <v>135.02300000000014</v>
      </c>
      <c r="G38" s="8">
        <f t="shared" si="6"/>
        <v>202.88399999999979</v>
      </c>
      <c r="H38" s="8">
        <f t="shared" si="6"/>
        <v>558.4860000000001</v>
      </c>
      <c r="I38" s="8">
        <f t="shared" si="6"/>
        <v>678.44200000000001</v>
      </c>
      <c r="J38" s="8">
        <f t="shared" ref="J38:Q38" si="7">+J36-J37</f>
        <v>192.39200000000028</v>
      </c>
      <c r="K38" s="8">
        <f t="shared" si="7"/>
        <v>63.361999999999853</v>
      </c>
      <c r="L38" s="8">
        <f t="shared" si="7"/>
        <v>331.10300000000007</v>
      </c>
      <c r="M38" s="8">
        <f t="shared" si="7"/>
        <v>516.0329999999999</v>
      </c>
      <c r="N38" s="8">
        <f t="shared" si="7"/>
        <v>152.20399999999995</v>
      </c>
      <c r="O38" s="8">
        <f t="shared" si="7"/>
        <v>-8.9920000000001892</v>
      </c>
      <c r="P38" s="8">
        <f t="shared" si="7"/>
        <v>362.92699999999991</v>
      </c>
      <c r="Q38" s="8">
        <f t="shared" si="7"/>
        <v>224.86399999999981</v>
      </c>
      <c r="W38" s="8">
        <f t="shared" ref="W38:AG38" si="8">+W36-W37</f>
        <v>1465.2669999999994</v>
      </c>
      <c r="X38" s="8">
        <f t="shared" si="8"/>
        <v>1647.146999999999</v>
      </c>
      <c r="Y38" s="8">
        <f t="shared" si="8"/>
        <v>1834.0860000000002</v>
      </c>
      <c r="Z38" s="8">
        <f t="shared" si="8"/>
        <v>1644.8280000000004</v>
      </c>
      <c r="AA38" s="8">
        <f t="shared" si="8"/>
        <v>1447.9040000000009</v>
      </c>
      <c r="AB38" s="8">
        <f t="shared" si="8"/>
        <v>1503.0900000000001</v>
      </c>
      <c r="AC38" s="8">
        <f t="shared" si="8"/>
        <v>1190.1820000000007</v>
      </c>
      <c r="AD38" s="8">
        <f t="shared" si="8"/>
        <v>1251.0280000000002</v>
      </c>
      <c r="AE38" s="8">
        <f t="shared" si="8"/>
        <v>627.99200000000019</v>
      </c>
      <c r="AF38" s="8">
        <f t="shared" si="8"/>
        <v>1632.2039999999997</v>
      </c>
      <c r="AG38" s="8">
        <f t="shared" si="8"/>
        <v>1062.7020000000002</v>
      </c>
    </row>
    <row r="39" spans="2:33" x14ac:dyDescent="0.2">
      <c r="B39" t="s">
        <v>30</v>
      </c>
      <c r="C39" s="2">
        <v>1.3129999999999999</v>
      </c>
      <c r="D39" s="2">
        <v>3.1760000000000002</v>
      </c>
      <c r="E39" s="2">
        <v>2.5390000000000001</v>
      </c>
      <c r="F39" s="2">
        <v>0</v>
      </c>
      <c r="G39" s="2">
        <v>2.1419999999999999</v>
      </c>
      <c r="H39" s="2">
        <v>1.518</v>
      </c>
      <c r="I39" s="2">
        <v>0.60599999999999998</v>
      </c>
      <c r="J39" s="2">
        <v>0</v>
      </c>
      <c r="K39" s="2">
        <v>1.2929999999999999</v>
      </c>
      <c r="L39" s="2">
        <v>0.82299999999999995</v>
      </c>
      <c r="M39" s="2">
        <v>3.9140000000000001</v>
      </c>
      <c r="N39" s="2">
        <v>0</v>
      </c>
      <c r="O39" s="2">
        <v>5.4939999999999998</v>
      </c>
      <c r="P39" s="2">
        <v>4.8079999999999998</v>
      </c>
      <c r="Q39" s="2">
        <v>4.2110000000000003</v>
      </c>
      <c r="W39" s="2">
        <v>3.3530000000000002</v>
      </c>
      <c r="X39" s="2">
        <v>4.141</v>
      </c>
      <c r="Y39" s="2">
        <v>6.9109999999999996</v>
      </c>
      <c r="Z39" s="2">
        <v>7.1520000000000001</v>
      </c>
      <c r="AA39" s="2">
        <v>9.1760000000000002</v>
      </c>
      <c r="AB39" s="2">
        <v>16.094999999999999</v>
      </c>
      <c r="AC39" s="2">
        <v>15.007999999999999</v>
      </c>
      <c r="AD39" s="2">
        <v>19.867000000000001</v>
      </c>
      <c r="AE39" s="2">
        <v>9.1549999999999994</v>
      </c>
      <c r="AF39" s="2">
        <v>5.0060000000000002</v>
      </c>
      <c r="AG39" s="2">
        <v>9.7579999999999991</v>
      </c>
    </row>
    <row r="40" spans="2:33" x14ac:dyDescent="0.2">
      <c r="B40" t="s">
        <v>31</v>
      </c>
      <c r="C40" s="2">
        <v>-29.262</v>
      </c>
      <c r="D40" s="2">
        <v>-34.106999999999999</v>
      </c>
      <c r="E40" s="2">
        <v>-34.314999999999998</v>
      </c>
      <c r="F40" s="2">
        <v>-35.844000000000001</v>
      </c>
      <c r="G40" s="2">
        <v>-34.917000000000002</v>
      </c>
      <c r="H40" s="2">
        <v>-35.887999999999998</v>
      </c>
      <c r="I40" s="2">
        <v>-33.994</v>
      </c>
      <c r="J40" s="2">
        <v>-30.93</v>
      </c>
      <c r="K40" s="2">
        <v>-32.545000000000002</v>
      </c>
      <c r="L40" s="2">
        <v>-34.725999999999999</v>
      </c>
      <c r="M40" s="2">
        <v>-54.143999999999998</v>
      </c>
      <c r="N40" s="2">
        <v>-49.237000000000002</v>
      </c>
      <c r="O40" s="2">
        <v>-55.213000000000001</v>
      </c>
      <c r="P40" s="2">
        <v>-60.451999999999998</v>
      </c>
      <c r="Q40" s="2">
        <v>-67.549000000000007</v>
      </c>
      <c r="W40" s="2">
        <v>-93.605000000000004</v>
      </c>
      <c r="X40" s="2">
        <v>-84.772999999999996</v>
      </c>
      <c r="Y40" s="2">
        <v>-86.724999999999994</v>
      </c>
      <c r="Z40" s="2">
        <v>-88.751000000000005</v>
      </c>
      <c r="AA40" s="2">
        <v>-94.721999999999994</v>
      </c>
      <c r="AB40" s="2">
        <v>-101.97499999999999</v>
      </c>
      <c r="AC40" s="2">
        <v>-107.738</v>
      </c>
      <c r="AD40" s="2">
        <v>-92.042000000000002</v>
      </c>
      <c r="AE40" s="2">
        <v>-135.655</v>
      </c>
      <c r="AF40" s="2">
        <v>-136.46899999999999</v>
      </c>
      <c r="AG40" s="2">
        <v>-174.39</v>
      </c>
    </row>
    <row r="41" spans="2:33" x14ac:dyDescent="0.2">
      <c r="B41" t="s">
        <v>32</v>
      </c>
      <c r="C41" s="2">
        <v>-38.186999999999998</v>
      </c>
      <c r="D41" s="2">
        <v>4.6440000000000001</v>
      </c>
      <c r="E41" s="2">
        <v>6.484</v>
      </c>
      <c r="F41" s="2">
        <v>2.4</v>
      </c>
      <c r="G41" s="2">
        <v>9.0410000000000004</v>
      </c>
      <c r="H41" s="2">
        <v>7.5490000000000004</v>
      </c>
      <c r="I41" s="2">
        <v>-9.5000000000000001E-2</v>
      </c>
      <c r="J41" s="2">
        <v>9.6890000000000001</v>
      </c>
      <c r="K41" s="2">
        <v>-94.713999999999999</v>
      </c>
      <c r="L41" s="2">
        <v>-9.2799999999999994</v>
      </c>
      <c r="M41" s="2">
        <v>-9.9009999999999998</v>
      </c>
      <c r="N41" s="2">
        <v>-5.8789999999999996</v>
      </c>
      <c r="O41" s="2">
        <v>-3.5670000000000002</v>
      </c>
      <c r="P41" s="2">
        <v>-3.51</v>
      </c>
      <c r="Q41" s="2">
        <v>30.029</v>
      </c>
      <c r="W41" s="2">
        <v>46.86</v>
      </c>
      <c r="X41" s="2">
        <v>-4.0250000000000004</v>
      </c>
      <c r="Y41" s="2">
        <v>-5.5439999999999996</v>
      </c>
      <c r="Z41" s="2">
        <v>1.028</v>
      </c>
      <c r="AA41" s="2">
        <v>2.0019999999999998</v>
      </c>
      <c r="AB41" s="2">
        <v>-0.71499999999999997</v>
      </c>
      <c r="AC41" s="2">
        <v>-59.139000000000003</v>
      </c>
      <c r="AD41" s="2">
        <v>-68.650000000000006</v>
      </c>
      <c r="AE41" s="2">
        <v>-24.658999999999999</v>
      </c>
      <c r="AF41" s="2">
        <v>26.154</v>
      </c>
      <c r="AG41" s="2">
        <v>-119.774</v>
      </c>
    </row>
    <row r="42" spans="2:33" x14ac:dyDescent="0.2">
      <c r="B42" t="s">
        <v>33</v>
      </c>
      <c r="C42" s="2">
        <f t="shared" ref="C42:D42" si="9">+C38+SUM(C39:C41)</f>
        <v>-312.94500000000005</v>
      </c>
      <c r="D42" s="2">
        <f t="shared" si="9"/>
        <v>293.66100000000012</v>
      </c>
      <c r="E42" s="2">
        <f t="shared" ref="E42:I42" si="10">+E38+SUM(E39:E41)</f>
        <v>386.70700000000028</v>
      </c>
      <c r="F42" s="2">
        <f t="shared" si="10"/>
        <v>101.57900000000014</v>
      </c>
      <c r="G42" s="2">
        <f t="shared" si="10"/>
        <v>179.14999999999978</v>
      </c>
      <c r="H42" s="2">
        <f t="shared" si="10"/>
        <v>531.66500000000008</v>
      </c>
      <c r="I42" s="2">
        <f t="shared" si="10"/>
        <v>644.95900000000006</v>
      </c>
      <c r="J42" s="2">
        <f t="shared" ref="J42:Q42" si="11">+J38+SUM(J39:J41)</f>
        <v>171.15100000000029</v>
      </c>
      <c r="K42" s="2">
        <f t="shared" si="11"/>
        <v>-62.604000000000156</v>
      </c>
      <c r="L42" s="2">
        <f t="shared" si="11"/>
        <v>287.92000000000007</v>
      </c>
      <c r="M42" s="2">
        <f t="shared" si="11"/>
        <v>455.90199999999993</v>
      </c>
      <c r="N42" s="2">
        <f t="shared" si="11"/>
        <v>97.087999999999951</v>
      </c>
      <c r="O42" s="2">
        <f t="shared" si="11"/>
        <v>-62.278000000000191</v>
      </c>
      <c r="P42" s="2">
        <f t="shared" si="11"/>
        <v>303.77299999999991</v>
      </c>
      <c r="Q42" s="2">
        <f t="shared" si="11"/>
        <v>191.55499999999978</v>
      </c>
      <c r="W42" s="2">
        <f t="shared" ref="W42:AG42" si="12">+W38+SUM(W39:W41)</f>
        <v>1421.8749999999993</v>
      </c>
      <c r="X42" s="2">
        <f t="shared" si="12"/>
        <v>1562.4899999999991</v>
      </c>
      <c r="Y42" s="2">
        <f t="shared" si="12"/>
        <v>1748.7280000000003</v>
      </c>
      <c r="Z42" s="2">
        <f t="shared" si="12"/>
        <v>1564.2570000000005</v>
      </c>
      <c r="AA42" s="2">
        <f t="shared" si="12"/>
        <v>1364.3600000000008</v>
      </c>
      <c r="AB42" s="2">
        <f t="shared" si="12"/>
        <v>1416.4950000000001</v>
      </c>
      <c r="AC42" s="2">
        <f t="shared" si="12"/>
        <v>1038.3130000000008</v>
      </c>
      <c r="AD42" s="2">
        <f t="shared" si="12"/>
        <v>1110.2030000000002</v>
      </c>
      <c r="AE42" s="2">
        <f t="shared" si="12"/>
        <v>476.8330000000002</v>
      </c>
      <c r="AF42" s="2">
        <f t="shared" si="12"/>
        <v>1526.8949999999998</v>
      </c>
      <c r="AG42" s="2">
        <f t="shared" si="12"/>
        <v>778.29600000000028</v>
      </c>
    </row>
    <row r="43" spans="2:33" x14ac:dyDescent="0.2">
      <c r="B43" t="s">
        <v>34</v>
      </c>
      <c r="C43" s="2">
        <v>-35.203000000000003</v>
      </c>
      <c r="D43" s="2">
        <v>50.414999999999999</v>
      </c>
      <c r="E43" s="2">
        <v>59.048000000000002</v>
      </c>
      <c r="F43" s="2">
        <v>27.306000000000001</v>
      </c>
      <c r="G43" s="2">
        <v>25.178000000000001</v>
      </c>
      <c r="H43" s="2">
        <v>67.611999999999995</v>
      </c>
      <c r="I43" s="2">
        <v>123.51300000000001</v>
      </c>
      <c r="J43" s="2">
        <v>90.677999999999997</v>
      </c>
      <c r="K43" s="2">
        <v>-6.6539999999999999</v>
      </c>
      <c r="L43" s="2">
        <v>-15.57</v>
      </c>
      <c r="M43" s="2">
        <v>-51.966000000000001</v>
      </c>
      <c r="N43" s="2">
        <v>-1.107</v>
      </c>
      <c r="O43" s="2">
        <v>-4.8529999999999998</v>
      </c>
      <c r="P43" s="2">
        <v>754.47</v>
      </c>
      <c r="Q43" s="2">
        <v>-23.088999999999999</v>
      </c>
      <c r="W43" s="2">
        <v>335.73700000000002</v>
      </c>
      <c r="X43" s="2">
        <v>352.37099999999998</v>
      </c>
      <c r="Y43" s="2">
        <v>304.86099999999999</v>
      </c>
      <c r="Z43" s="2">
        <v>347.20100000000002</v>
      </c>
      <c r="AA43" s="2">
        <v>205.86199999999999</v>
      </c>
      <c r="AB43" s="2">
        <v>695.28599999999994</v>
      </c>
      <c r="AC43" s="2">
        <v>167.887</v>
      </c>
      <c r="AD43" s="2">
        <v>98.061999999999998</v>
      </c>
      <c r="AE43" s="2">
        <v>101.566</v>
      </c>
      <c r="AF43" s="2">
        <v>306.98099999999999</v>
      </c>
      <c r="AG43" s="2">
        <v>-75.296999999999997</v>
      </c>
    </row>
    <row r="44" spans="2:33" x14ac:dyDescent="0.2">
      <c r="B44" t="s">
        <v>130</v>
      </c>
      <c r="C44" s="2">
        <f t="shared" ref="C44:Q44" si="13">+C42-C43</f>
        <v>-277.74200000000008</v>
      </c>
      <c r="D44" s="2">
        <f t="shared" si="13"/>
        <v>243.24600000000012</v>
      </c>
      <c r="E44" s="2">
        <f t="shared" si="13"/>
        <v>327.65900000000028</v>
      </c>
      <c r="F44" s="2">
        <f t="shared" si="13"/>
        <v>74.273000000000138</v>
      </c>
      <c r="G44" s="2">
        <f t="shared" si="13"/>
        <v>153.97199999999978</v>
      </c>
      <c r="H44" s="2">
        <f t="shared" si="13"/>
        <v>464.05300000000011</v>
      </c>
      <c r="I44" s="2">
        <f t="shared" si="13"/>
        <v>521.44600000000003</v>
      </c>
      <c r="J44" s="2">
        <f t="shared" si="13"/>
        <v>80.473000000000297</v>
      </c>
      <c r="K44" s="2">
        <f t="shared" si="13"/>
        <v>-55.950000000000159</v>
      </c>
      <c r="L44" s="2">
        <f t="shared" si="13"/>
        <v>303.49000000000007</v>
      </c>
      <c r="M44" s="2">
        <f t="shared" si="13"/>
        <v>507.86799999999994</v>
      </c>
      <c r="N44" s="2">
        <f t="shared" si="13"/>
        <v>98.194999999999951</v>
      </c>
      <c r="O44" s="2">
        <f t="shared" si="13"/>
        <v>-57.425000000000189</v>
      </c>
      <c r="P44" s="2">
        <f t="shared" si="13"/>
        <v>-450.69700000000012</v>
      </c>
      <c r="Q44" s="2">
        <f t="shared" si="13"/>
        <v>214.64399999999978</v>
      </c>
      <c r="W44" s="2">
        <f t="shared" ref="W44:AG44" si="14">+W42-W43</f>
        <v>1086.1379999999992</v>
      </c>
      <c r="X44" s="2">
        <f t="shared" si="14"/>
        <v>1210.1189999999992</v>
      </c>
      <c r="Y44" s="2">
        <f t="shared" si="14"/>
        <v>1443.8670000000002</v>
      </c>
      <c r="Z44" s="2">
        <f t="shared" si="14"/>
        <v>1217.0560000000005</v>
      </c>
      <c r="AA44" s="2">
        <f t="shared" si="14"/>
        <v>1158.4980000000007</v>
      </c>
      <c r="AB44" s="2">
        <f t="shared" si="14"/>
        <v>721.20900000000017</v>
      </c>
      <c r="AC44" s="2">
        <f t="shared" si="14"/>
        <v>870.42600000000084</v>
      </c>
      <c r="AD44" s="2">
        <f t="shared" si="14"/>
        <v>1012.1410000000002</v>
      </c>
      <c r="AE44" s="2">
        <f t="shared" si="14"/>
        <v>375.26700000000017</v>
      </c>
      <c r="AF44" s="2">
        <f t="shared" si="14"/>
        <v>1219.9139999999998</v>
      </c>
      <c r="AG44" s="2">
        <f t="shared" si="14"/>
        <v>853.5930000000003</v>
      </c>
    </row>
    <row r="45" spans="2:33" x14ac:dyDescent="0.2">
      <c r="B45" t="s">
        <v>129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W45" s="2">
        <v>0</v>
      </c>
      <c r="X45" s="2">
        <v>0</v>
      </c>
      <c r="Y45" s="2">
        <v>0</v>
      </c>
      <c r="Z45" s="2">
        <v>-98.421000000000006</v>
      </c>
    </row>
    <row r="46" spans="2:33" s="8" customFormat="1" x14ac:dyDescent="0.2">
      <c r="B46" s="7" t="s">
        <v>35</v>
      </c>
      <c r="C46" s="8">
        <f>+C44+C45</f>
        <v>-277.74200000000008</v>
      </c>
      <c r="D46" s="8">
        <f t="shared" ref="D46:Q46" si="15">+D44+D45</f>
        <v>243.24600000000012</v>
      </c>
      <c r="E46" s="8">
        <f t="shared" si="15"/>
        <v>327.65900000000028</v>
      </c>
      <c r="F46" s="8">
        <f t="shared" si="15"/>
        <v>74.273000000000138</v>
      </c>
      <c r="G46" s="8">
        <f t="shared" si="15"/>
        <v>153.97199999999978</v>
      </c>
      <c r="H46" s="8">
        <f t="shared" si="15"/>
        <v>464.05300000000011</v>
      </c>
      <c r="I46" s="8">
        <f t="shared" si="15"/>
        <v>521.44600000000003</v>
      </c>
      <c r="J46" s="8">
        <f t="shared" si="15"/>
        <v>80.473000000000297</v>
      </c>
      <c r="K46" s="8">
        <f t="shared" si="15"/>
        <v>-55.950000000000159</v>
      </c>
      <c r="L46" s="8">
        <f t="shared" si="15"/>
        <v>303.49000000000007</v>
      </c>
      <c r="M46" s="8">
        <f t="shared" si="15"/>
        <v>507.86799999999994</v>
      </c>
      <c r="N46" s="8">
        <f t="shared" si="15"/>
        <v>98.194999999999951</v>
      </c>
      <c r="O46" s="8">
        <f t="shared" si="15"/>
        <v>-57.425000000000189</v>
      </c>
      <c r="P46" s="8">
        <f t="shared" si="15"/>
        <v>-450.69700000000012</v>
      </c>
      <c r="Q46" s="8">
        <f t="shared" si="15"/>
        <v>214.64399999999978</v>
      </c>
      <c r="W46" s="8">
        <f t="shared" ref="W46:Y46" si="16">+W44+W45</f>
        <v>1086.1379999999992</v>
      </c>
      <c r="X46" s="8">
        <f t="shared" si="16"/>
        <v>1210.1189999999992</v>
      </c>
      <c r="Y46" s="8">
        <f t="shared" si="16"/>
        <v>1443.8670000000002</v>
      </c>
      <c r="Z46" s="8">
        <f>+Z44+Z45</f>
        <v>1118.6350000000004</v>
      </c>
      <c r="AA46" s="8">
        <f t="shared" ref="AA46:AG46" si="17">+AA44+AA45</f>
        <v>1158.4980000000007</v>
      </c>
      <c r="AB46" s="8">
        <f t="shared" si="17"/>
        <v>721.20900000000017</v>
      </c>
      <c r="AC46" s="8">
        <f t="shared" si="17"/>
        <v>870.42600000000084</v>
      </c>
      <c r="AD46" s="8">
        <f t="shared" si="17"/>
        <v>1012.1410000000002</v>
      </c>
      <c r="AE46" s="8">
        <f t="shared" si="17"/>
        <v>375.26700000000017</v>
      </c>
      <c r="AF46" s="8">
        <f t="shared" si="17"/>
        <v>1219.9139999999998</v>
      </c>
      <c r="AG46" s="8">
        <f t="shared" si="17"/>
        <v>853.5930000000003</v>
      </c>
    </row>
    <row r="47" spans="2:33" s="5" customFormat="1" x14ac:dyDescent="0.2">
      <c r="B47" s="5" t="s">
        <v>36</v>
      </c>
      <c r="C47" s="5">
        <f t="shared" ref="C47:D47" si="18">+C44/C48</f>
        <v>-0.71071749349396496</v>
      </c>
      <c r="D47" s="5">
        <f t="shared" si="18"/>
        <v>0.62182626923666884</v>
      </c>
      <c r="E47" s="5">
        <f t="shared" ref="E47:I47" si="19">+E44/E48</f>
        <v>0.83405413248279958</v>
      </c>
      <c r="F47" s="5">
        <f t="shared" si="19"/>
        <v>0.18871371403163345</v>
      </c>
      <c r="G47" s="5">
        <f t="shared" si="19"/>
        <v>0.39066496163682812</v>
      </c>
      <c r="H47" s="5">
        <f t="shared" si="19"/>
        <v>1.1777486758185562</v>
      </c>
      <c r="I47" s="5">
        <f t="shared" si="19"/>
        <v>1.3285417648632467</v>
      </c>
      <c r="J47" s="5">
        <f t="shared" ref="J47:Q47" si="20">+J44/J48</f>
        <v>0.20687040169459359</v>
      </c>
      <c r="K47" s="5">
        <f t="shared" si="20"/>
        <v>-0.14436362604273412</v>
      </c>
      <c r="L47" s="5">
        <f t="shared" si="20"/>
        <v>0.78282020593879631</v>
      </c>
      <c r="M47" s="5">
        <f t="shared" si="20"/>
        <v>1.3082907427252493</v>
      </c>
      <c r="N47" s="5">
        <f t="shared" si="20"/>
        <v>0.25303946276625888</v>
      </c>
      <c r="O47" s="5">
        <f t="shared" si="20"/>
        <v>-0.14794157048639783</v>
      </c>
      <c r="P47" s="5">
        <f t="shared" si="20"/>
        <v>-1.1605791861728703</v>
      </c>
      <c r="Q47" s="5">
        <f t="shared" si="20"/>
        <v>0.55266064683572602</v>
      </c>
      <c r="W47" s="5">
        <f t="shared" ref="W47:AG47" si="21">+W44/W48</f>
        <v>2.472473889804502</v>
      </c>
      <c r="X47" s="5">
        <f t="shared" si="21"/>
        <v>2.7586907310267459</v>
      </c>
      <c r="Y47" s="5">
        <f t="shared" si="21"/>
        <v>3.3375642320699201</v>
      </c>
      <c r="Z47" s="5">
        <f t="shared" si="21"/>
        <v>2.8609146983601637</v>
      </c>
      <c r="AA47" s="5">
        <f t="shared" si="21"/>
        <v>2.7841616138311926</v>
      </c>
      <c r="AB47" s="5">
        <f t="shared" si="21"/>
        <v>1.8065316878035589</v>
      </c>
      <c r="AC47" s="5">
        <f t="shared" si="21"/>
        <v>2.1733700211737466</v>
      </c>
      <c r="AD47" s="5">
        <f t="shared" si="21"/>
        <v>2.5307574211873907</v>
      </c>
      <c r="AE47" s="5">
        <f t="shared" si="21"/>
        <v>0.95701836932987572</v>
      </c>
      <c r="AF47" s="5">
        <f t="shared" si="21"/>
        <v>3.1087660641521255</v>
      </c>
      <c r="AG47" s="5">
        <f t="shared" si="21"/>
        <v>2.1978860365115747</v>
      </c>
    </row>
    <row r="48" spans="2:33" x14ac:dyDescent="0.2">
      <c r="B48" t="s">
        <v>4</v>
      </c>
      <c r="C48" s="2">
        <v>390.791</v>
      </c>
      <c r="D48" s="2">
        <v>391.18</v>
      </c>
      <c r="E48" s="2">
        <v>392.851</v>
      </c>
      <c r="F48" s="2">
        <v>393.57499999999999</v>
      </c>
      <c r="G48" s="2">
        <v>394.12799999999999</v>
      </c>
      <c r="H48" s="2">
        <v>394.017</v>
      </c>
      <c r="I48" s="2">
        <v>392.495</v>
      </c>
      <c r="J48" s="2">
        <v>389.00200000000001</v>
      </c>
      <c r="K48" s="2">
        <v>387.56299999999999</v>
      </c>
      <c r="L48" s="2">
        <v>387.68799999999999</v>
      </c>
      <c r="M48" s="2">
        <v>388.19200000000001</v>
      </c>
      <c r="N48" s="2">
        <v>388.06200000000001</v>
      </c>
      <c r="O48" s="2">
        <v>388.16</v>
      </c>
      <c r="P48" s="2">
        <v>388.33800000000002</v>
      </c>
      <c r="Q48" s="2">
        <v>388.38299999999998</v>
      </c>
      <c r="W48" s="2">
        <v>439.29199999999997</v>
      </c>
      <c r="X48" s="2">
        <v>438.65699999999998</v>
      </c>
      <c r="Y48" s="2">
        <v>432.61099999999999</v>
      </c>
      <c r="Z48" s="2">
        <v>425.40800000000002</v>
      </c>
      <c r="AA48" s="2">
        <v>416.10300000000001</v>
      </c>
      <c r="AB48" s="2">
        <v>399.22300000000001</v>
      </c>
      <c r="AC48" s="2">
        <v>400.49599999999998</v>
      </c>
      <c r="AD48" s="2">
        <v>399.93599999999998</v>
      </c>
      <c r="AE48" s="2">
        <v>392.12099999999998</v>
      </c>
      <c r="AF48" s="2">
        <v>392.411</v>
      </c>
      <c r="AG48" s="2">
        <v>388.37</v>
      </c>
    </row>
    <row r="50" spans="2:33" s="6" customFormat="1" x14ac:dyDescent="0.2">
      <c r="B50" s="6" t="s">
        <v>37</v>
      </c>
      <c r="C50" s="6">
        <f t="shared" ref="C50:Q50" si="22">+C36/C34</f>
        <v>0.52898420783188216</v>
      </c>
      <c r="D50" s="6">
        <f t="shared" si="22"/>
        <v>0.50834098831280161</v>
      </c>
      <c r="E50" s="6">
        <f t="shared" si="22"/>
        <v>0.54736481845614793</v>
      </c>
      <c r="F50" s="6">
        <f t="shared" si="22"/>
        <v>0.52127138095739611</v>
      </c>
      <c r="G50" s="6">
        <f t="shared" si="22"/>
        <v>0.56458137109220674</v>
      </c>
      <c r="H50" s="6">
        <f t="shared" si="22"/>
        <v>0.5374179821057552</v>
      </c>
      <c r="I50" s="6">
        <f t="shared" si="22"/>
        <v>0.56058629549186845</v>
      </c>
      <c r="J50" s="6">
        <f t="shared" si="22"/>
        <v>0.51895446679675894</v>
      </c>
      <c r="K50" s="6">
        <f t="shared" si="22"/>
        <v>0.53882901226789059</v>
      </c>
      <c r="L50" s="6">
        <f t="shared" si="22"/>
        <v>0.51367363500616769</v>
      </c>
      <c r="M50" s="6">
        <f t="shared" si="22"/>
        <v>0.5487968703930447</v>
      </c>
      <c r="N50" s="6">
        <f t="shared" si="22"/>
        <v>0.49569921007091144</v>
      </c>
      <c r="O50" s="6">
        <f t="shared" si="22"/>
        <v>0.52775152228595967</v>
      </c>
      <c r="P50" s="6">
        <f t="shared" si="22"/>
        <v>0.51255388913002564</v>
      </c>
      <c r="Q50" s="6">
        <f t="shared" si="22"/>
        <v>0.55143781861396357</v>
      </c>
      <c r="W50" s="6">
        <f t="shared" ref="W50:AG50" si="23">+W36/W34</f>
        <v>0.46526125577960364</v>
      </c>
      <c r="X50" s="6">
        <f t="shared" si="23"/>
        <v>0.48059090788087333</v>
      </c>
      <c r="Y50" s="6">
        <f t="shared" si="23"/>
        <v>0.48802250678850412</v>
      </c>
      <c r="Z50" s="6">
        <f t="shared" si="23"/>
        <v>0.49039962467692821</v>
      </c>
      <c r="AA50" s="6">
        <f t="shared" si="23"/>
        <v>0.49303024891650732</v>
      </c>
      <c r="AB50" s="6">
        <f t="shared" si="23"/>
        <v>0.50513475498673843</v>
      </c>
      <c r="AC50" s="6">
        <f t="shared" si="23"/>
        <v>0.54647148643985277</v>
      </c>
      <c r="AD50" s="6">
        <f t="shared" si="23"/>
        <v>0.55279640019083653</v>
      </c>
      <c r="AE50" s="6">
        <f t="shared" si="23"/>
        <v>0.52691195746647579</v>
      </c>
      <c r="AF50" s="6">
        <f t="shared" si="23"/>
        <v>0.54513884666572088</v>
      </c>
      <c r="AG50" s="6">
        <f t="shared" si="23"/>
        <v>0.52501116256439728</v>
      </c>
    </row>
    <row r="51" spans="2:33" s="6" customFormat="1" x14ac:dyDescent="0.2">
      <c r="B51" s="6" t="s">
        <v>38</v>
      </c>
      <c r="C51" s="6">
        <f t="shared" ref="C51:Q51" si="24">+C38/C34</f>
        <v>-0.22931395075504543</v>
      </c>
      <c r="D51" s="6">
        <f t="shared" si="24"/>
        <v>0.12266420889429384</v>
      </c>
      <c r="E51" s="6">
        <f t="shared" si="24"/>
        <v>0.13864826364502467</v>
      </c>
      <c r="F51" s="6">
        <f t="shared" si="24"/>
        <v>5.228035151192259E-2</v>
      </c>
      <c r="G51" s="6">
        <f t="shared" si="24"/>
        <v>9.2448726553924013E-2</v>
      </c>
      <c r="H51" s="6">
        <f t="shared" si="24"/>
        <v>0.17462319060356732</v>
      </c>
      <c r="I51" s="6">
        <f t="shared" si="24"/>
        <v>0.1871882228814607</v>
      </c>
      <c r="J51" s="6">
        <f t="shared" si="24"/>
        <v>6.8111463876765616E-2</v>
      </c>
      <c r="K51" s="6">
        <f t="shared" si="24"/>
        <v>2.8016510471591888E-2</v>
      </c>
      <c r="L51" s="6">
        <f t="shared" si="24"/>
        <v>0.10748003635655394</v>
      </c>
      <c r="M51" s="6">
        <f t="shared" si="24"/>
        <v>0.1461573691316683</v>
      </c>
      <c r="N51" s="6">
        <f t="shared" si="24"/>
        <v>5.5556751993803492E-2</v>
      </c>
      <c r="O51" s="6">
        <f t="shared" si="24"/>
        <v>-4.309948157919046E-3</v>
      </c>
      <c r="P51" s="6">
        <f t="shared" si="24"/>
        <v>0.11961055144304714</v>
      </c>
      <c r="Q51" s="6">
        <f t="shared" si="24"/>
        <v>7.5960305146501136E-2</v>
      </c>
      <c r="W51" s="6">
        <f t="shared" ref="W51:AG51" si="25">+W38/W34</f>
        <v>0.13467707060434164</v>
      </c>
      <c r="X51" s="6">
        <f t="shared" si="25"/>
        <v>0.14423798351753042</v>
      </c>
      <c r="Y51" s="6">
        <f t="shared" si="25"/>
        <v>0.1493292589146161</v>
      </c>
      <c r="Z51" s="6">
        <f t="shared" si="25"/>
        <v>0.14957886645193569</v>
      </c>
      <c r="AA51" s="6">
        <f t="shared" si="25"/>
        <v>0.13131549942151149</v>
      </c>
      <c r="AB51" s="6">
        <f t="shared" si="25"/>
        <v>0.12725996740206333</v>
      </c>
      <c r="AC51" s="6">
        <f t="shared" si="25"/>
        <v>0.1159243303252486</v>
      </c>
      <c r="AD51" s="6">
        <f t="shared" si="25"/>
        <v>0.11927552276976928</v>
      </c>
      <c r="AE51" s="6">
        <f t="shared" si="25"/>
        <v>6.7973109149102234E-2</v>
      </c>
      <c r="AF51" s="6">
        <f t="shared" si="25"/>
        <v>0.13783364747370339</v>
      </c>
      <c r="AG51" s="6">
        <f t="shared" si="25"/>
        <v>9.1513824572281119E-2</v>
      </c>
    </row>
    <row r="52" spans="2:33" s="6" customFormat="1" x14ac:dyDescent="0.2">
      <c r="B52" s="6" t="s">
        <v>39</v>
      </c>
      <c r="C52" s="6">
        <f t="shared" ref="C52:Q52" si="26">+C44/C34</f>
        <v>-0.25805426589228037</v>
      </c>
      <c r="D52" s="6">
        <f t="shared" si="26"/>
        <v>9.3257586097432732E-2</v>
      </c>
      <c r="E52" s="6">
        <f t="shared" si="26"/>
        <v>0.11026568369744864</v>
      </c>
      <c r="F52" s="6">
        <f t="shared" si="26"/>
        <v>2.8758200809084599E-2</v>
      </c>
      <c r="G52" s="6">
        <f t="shared" si="26"/>
        <v>7.0160857065913435E-2</v>
      </c>
      <c r="H52" s="6">
        <f t="shared" si="26"/>
        <v>0.14509659233921213</v>
      </c>
      <c r="I52" s="6">
        <f t="shared" si="26"/>
        <v>0.14387162066712578</v>
      </c>
      <c r="J52" s="6">
        <f t="shared" si="26"/>
        <v>2.8489406173619336E-2</v>
      </c>
      <c r="K52" s="6">
        <f t="shared" si="26"/>
        <v>-2.4739177438931448E-2</v>
      </c>
      <c r="L52" s="6">
        <f t="shared" si="26"/>
        <v>9.8516522755307437E-2</v>
      </c>
      <c r="M52" s="6">
        <f t="shared" si="26"/>
        <v>0.14384477493912623</v>
      </c>
      <c r="N52" s="6">
        <f t="shared" si="26"/>
        <v>3.5842653688677908E-2</v>
      </c>
      <c r="O52" s="6">
        <f t="shared" si="26"/>
        <v>-2.7524329734041016E-2</v>
      </c>
      <c r="P52" s="6">
        <f t="shared" si="26"/>
        <v>-0.14853707964336366</v>
      </c>
      <c r="Q52" s="6">
        <f t="shared" si="26"/>
        <v>7.2507932518613857E-2</v>
      </c>
      <c r="W52" s="6">
        <f t="shared" ref="W52:AG52" si="27">+W44/W34</f>
        <v>9.9830190751622999E-2</v>
      </c>
      <c r="X52" s="6">
        <f t="shared" si="27"/>
        <v>0.10596815243341995</v>
      </c>
      <c r="Y52" s="6">
        <f t="shared" si="27"/>
        <v>0.11755805839053894</v>
      </c>
      <c r="Z52" s="6">
        <f t="shared" si="27"/>
        <v>0.11067774678478666</v>
      </c>
      <c r="AA52" s="6">
        <f t="shared" si="27"/>
        <v>0.10506825276318198</v>
      </c>
      <c r="AB52" s="6">
        <f t="shared" si="27"/>
        <v>6.1061569054464276E-2</v>
      </c>
      <c r="AC52" s="6">
        <f t="shared" si="27"/>
        <v>8.4779933781291325E-2</v>
      </c>
      <c r="AD52" s="6">
        <f t="shared" si="27"/>
        <v>9.6499556278290377E-2</v>
      </c>
      <c r="AE52" s="6">
        <f t="shared" si="27"/>
        <v>4.0618454934228707E-2</v>
      </c>
      <c r="AF52" s="6">
        <f t="shared" si="27"/>
        <v>0.10301726758679393</v>
      </c>
      <c r="AG52" s="6">
        <f t="shared" si="27"/>
        <v>7.3506552220779828E-2</v>
      </c>
    </row>
    <row r="53" spans="2:33" s="6" customFormat="1" x14ac:dyDescent="0.2">
      <c r="B53" s="6" t="s">
        <v>34</v>
      </c>
      <c r="C53" s="6">
        <f t="shared" ref="C53:E53" si="28">+C43/C42</f>
        <v>0.11248941507293612</v>
      </c>
      <c r="D53" s="6">
        <f t="shared" si="28"/>
        <v>0.17167754655878711</v>
      </c>
      <c r="E53" s="6">
        <f t="shared" si="28"/>
        <v>0.1526944172202726</v>
      </c>
      <c r="F53" s="6">
        <f t="shared" ref="F53" si="29">+F43/F42</f>
        <v>0.26881540475885729</v>
      </c>
      <c r="G53" s="6">
        <f t="shared" ref="G53:H53" si="30">+G43/G42</f>
        <v>0.14054144571588073</v>
      </c>
      <c r="H53" s="6">
        <f t="shared" si="30"/>
        <v>0.12717030460910533</v>
      </c>
      <c r="I53" s="6">
        <f t="shared" ref="I53" si="31">+I43/I42</f>
        <v>0.19150519645434824</v>
      </c>
      <c r="J53" s="6">
        <f t="shared" ref="J53" si="32">+J43/J42</f>
        <v>0.52981285531489641</v>
      </c>
      <c r="K53" s="6">
        <f t="shared" ref="K53:Q53" si="33">+K43/K42</f>
        <v>0.10628713820203155</v>
      </c>
      <c r="L53" s="6">
        <f t="shared" si="33"/>
        <v>-5.4077521533759366E-2</v>
      </c>
      <c r="M53" s="6">
        <f t="shared" si="33"/>
        <v>-0.11398502309706912</v>
      </c>
      <c r="N53" s="6">
        <f t="shared" si="33"/>
        <v>-1.1402027027027032E-2</v>
      </c>
      <c r="O53" s="6">
        <f t="shared" si="33"/>
        <v>7.7924788849994944E-2</v>
      </c>
      <c r="P53" s="6">
        <f t="shared" si="33"/>
        <v>2.48366378842096</v>
      </c>
      <c r="Q53" s="6">
        <f t="shared" si="33"/>
        <v>-0.12053457231604513</v>
      </c>
      <c r="W53" s="6">
        <f t="shared" ref="W53" si="34">+W43/W42</f>
        <v>0.23612272527472541</v>
      </c>
      <c r="X53" s="6">
        <f t="shared" ref="X53:Y53" si="35">+X43/X42</f>
        <v>0.22551888332085337</v>
      </c>
      <c r="Y53" s="6">
        <f t="shared" si="35"/>
        <v>0.17433300090122647</v>
      </c>
      <c r="Z53" s="6">
        <f t="shared" ref="Z53:AA53" si="36">+Z43/Z42</f>
        <v>0.22195905148578521</v>
      </c>
      <c r="AA53" s="6">
        <f t="shared" si="36"/>
        <v>0.15088539681608951</v>
      </c>
      <c r="AB53" s="6">
        <f t="shared" ref="AB53:AC53" si="37">+AB43/AB42</f>
        <v>0.4908495970688212</v>
      </c>
      <c r="AC53" s="6">
        <f t="shared" si="37"/>
        <v>0.16169209092056044</v>
      </c>
      <c r="AD53" s="6">
        <f t="shared" ref="AD53:AE53" si="38">+AD43/AD42</f>
        <v>8.8327990466608344E-2</v>
      </c>
      <c r="AE53" s="6">
        <f t="shared" si="38"/>
        <v>0.21300119748423443</v>
      </c>
      <c r="AF53" s="6">
        <f t="shared" ref="AF53:AG53" si="39">+AF43/AF42</f>
        <v>0.20104918805811797</v>
      </c>
      <c r="AG53" s="6">
        <f t="shared" si="39"/>
        <v>-9.6745968114958794E-2</v>
      </c>
    </row>
    <row r="54" spans="2:33" s="6" customFormat="1" x14ac:dyDescent="0.2"/>
    <row r="55" spans="2:33" s="9" customFormat="1" x14ac:dyDescent="0.2">
      <c r="B55" s="9" t="s">
        <v>81</v>
      </c>
      <c r="G55" s="9">
        <f t="shared" ref="G55:Q55" si="40">+G34/C34-1</f>
        <v>1.0389958868077747</v>
      </c>
      <c r="H55" s="9">
        <f t="shared" si="40"/>
        <v>0.22616477094103349</v>
      </c>
      <c r="I55" s="9">
        <f t="shared" si="40"/>
        <v>0.21969846621668676</v>
      </c>
      <c r="J55" s="9">
        <f t="shared" si="40"/>
        <v>9.3698309347838293E-2</v>
      </c>
      <c r="K55" s="9">
        <f t="shared" si="40"/>
        <v>3.0547395214615136E-2</v>
      </c>
      <c r="L55" s="9">
        <f t="shared" si="40"/>
        <v>-3.6781224644217847E-2</v>
      </c>
      <c r="M55" s="9">
        <f t="shared" si="40"/>
        <v>-2.5857359485087716E-2</v>
      </c>
      <c r="N55" s="9">
        <f t="shared" si="40"/>
        <v>-3.0110129912796824E-2</v>
      </c>
      <c r="O55" s="9">
        <f t="shared" si="40"/>
        <v>-7.749353885200494E-2</v>
      </c>
      <c r="P55" s="9">
        <f t="shared" si="40"/>
        <v>-1.504934103746014E-2</v>
      </c>
      <c r="Q55" s="9">
        <f t="shared" si="40"/>
        <v>-0.16155134426441242</v>
      </c>
      <c r="X55" s="9">
        <f t="shared" ref="X55:AG55" si="41">+X34/W34-1</f>
        <v>4.9613988421720601E-2</v>
      </c>
      <c r="Y55" s="9">
        <f t="shared" si="41"/>
        <v>7.5528860434227019E-2</v>
      </c>
      <c r="Z55" s="9">
        <f t="shared" si="41"/>
        <v>-0.10468581221171092</v>
      </c>
      <c r="AA55" s="9">
        <f t="shared" si="41"/>
        <v>2.7057963461292189E-3</v>
      </c>
      <c r="AB55" s="9">
        <f t="shared" si="41"/>
        <v>7.1197128062957971E-2</v>
      </c>
      <c r="AC55" s="9">
        <f t="shared" si="41"/>
        <v>-0.13074818877068717</v>
      </c>
      <c r="AD55" s="9">
        <f t="shared" si="41"/>
        <v>2.1590673005361882E-2</v>
      </c>
      <c r="AE55" s="9">
        <f t="shared" si="41"/>
        <v>-0.11915138747411946</v>
      </c>
      <c r="AF55" s="9">
        <f t="shared" si="41"/>
        <v>0.28174671468140455</v>
      </c>
      <c r="AG55" s="9">
        <f t="shared" si="41"/>
        <v>-1.9369033866358576E-2</v>
      </c>
    </row>
    <row r="57" spans="2:33" x14ac:dyDescent="0.2">
      <c r="B57" s="6" t="s">
        <v>46</v>
      </c>
      <c r="J57" s="2">
        <f t="shared" ref="J57:Q57" si="42">+J58-J67</f>
        <v>-4144.8310000000001</v>
      </c>
      <c r="K57" s="2">
        <f t="shared" si="42"/>
        <v>-4768.8080000000009</v>
      </c>
      <c r="L57" s="2">
        <f t="shared" si="42"/>
        <v>-5498.1710000000003</v>
      </c>
      <c r="M57" s="2">
        <f t="shared" si="42"/>
        <v>-5831.9230000000007</v>
      </c>
      <c r="N57" s="2">
        <f t="shared" si="42"/>
        <v>-5831.9230000000007</v>
      </c>
      <c r="O57" s="2">
        <f t="shared" si="42"/>
        <v>-5903.1750000000011</v>
      </c>
      <c r="P57" s="2">
        <f t="shared" si="42"/>
        <v>-6182.0550000000003</v>
      </c>
      <c r="Q57" s="2">
        <f t="shared" si="42"/>
        <v>-5220.1279999999997</v>
      </c>
    </row>
    <row r="58" spans="2:33" x14ac:dyDescent="0.2">
      <c r="B58" s="6" t="s">
        <v>6</v>
      </c>
      <c r="J58" s="2">
        <v>1275.943</v>
      </c>
      <c r="K58" s="2">
        <v>528.029</v>
      </c>
      <c r="L58" s="2">
        <v>552.81100000000004</v>
      </c>
      <c r="M58" s="2">
        <v>814.88699999999994</v>
      </c>
      <c r="N58" s="2">
        <v>814.88699999999994</v>
      </c>
      <c r="O58" s="2">
        <v>806.529</v>
      </c>
      <c r="P58" s="2">
        <v>498.91199999999998</v>
      </c>
      <c r="Q58" s="2">
        <v>988.00599999999997</v>
      </c>
    </row>
    <row r="59" spans="2:33" x14ac:dyDescent="0.2">
      <c r="B59" s="6" t="s">
        <v>48</v>
      </c>
      <c r="J59" s="2">
        <v>1467.8420000000001</v>
      </c>
      <c r="K59" s="2">
        <v>1249.713</v>
      </c>
      <c r="L59" s="2">
        <v>1834.598</v>
      </c>
      <c r="M59" s="2">
        <v>1610.2950000000001</v>
      </c>
      <c r="N59" s="2">
        <v>1610.2950000000001</v>
      </c>
      <c r="O59" s="2">
        <v>1214.223</v>
      </c>
      <c r="P59" s="2">
        <v>1889.8040000000001</v>
      </c>
      <c r="Q59" s="2">
        <v>1314.1389999999999</v>
      </c>
    </row>
    <row r="60" spans="2:33" x14ac:dyDescent="0.2">
      <c r="B60" s="6" t="s">
        <v>47</v>
      </c>
      <c r="J60" s="2">
        <v>1418.673</v>
      </c>
      <c r="K60" s="2">
        <v>2341.395</v>
      </c>
      <c r="L60" s="2">
        <v>2749.8939999999998</v>
      </c>
      <c r="M60" s="2">
        <v>2292.79</v>
      </c>
      <c r="N60" s="2">
        <v>2292.79</v>
      </c>
      <c r="O60" s="2">
        <v>2787.0210000000002</v>
      </c>
      <c r="P60" s="2">
        <v>2481.0509999999999</v>
      </c>
      <c r="Q60" s="2">
        <v>2148.2190000000001</v>
      </c>
    </row>
    <row r="61" spans="2:33" x14ac:dyDescent="0.2">
      <c r="B61" s="6" t="s">
        <v>49</v>
      </c>
      <c r="J61" s="2">
        <v>425.62200000000001</v>
      </c>
      <c r="K61" s="2">
        <v>492.56900000000002</v>
      </c>
      <c r="L61" s="2">
        <v>550.94100000000003</v>
      </c>
      <c r="M61" s="2">
        <v>434.73700000000002</v>
      </c>
      <c r="N61" s="2">
        <v>434.73700000000002</v>
      </c>
      <c r="O61" s="2">
        <v>405.78399999999999</v>
      </c>
      <c r="P61" s="2">
        <v>373.79500000000002</v>
      </c>
      <c r="Q61" s="2">
        <v>485.56200000000001</v>
      </c>
    </row>
    <row r="62" spans="2:33" x14ac:dyDescent="0.2">
      <c r="B62" s="6" t="s">
        <v>50</v>
      </c>
      <c r="J62" s="2">
        <v>1041.777</v>
      </c>
      <c r="K62" s="2">
        <v>1007.853</v>
      </c>
      <c r="L62" s="2">
        <v>984.11500000000001</v>
      </c>
      <c r="M62" s="2">
        <v>942.44</v>
      </c>
      <c r="N62" s="2">
        <v>942.44</v>
      </c>
      <c r="O62" s="2">
        <v>943.16300000000001</v>
      </c>
      <c r="P62" s="2">
        <v>916.57100000000003</v>
      </c>
      <c r="Q62" s="2">
        <v>913.38400000000001</v>
      </c>
    </row>
    <row r="63" spans="2:33" x14ac:dyDescent="0.2">
      <c r="B63" s="6" t="s">
        <v>51</v>
      </c>
      <c r="J63" s="2">
        <v>5394.1580000000004</v>
      </c>
      <c r="K63" s="2">
        <f>2984.136+2359.548</f>
        <v>5343.6839999999993</v>
      </c>
      <c r="L63" s="2">
        <f>2776.022+2102.7</f>
        <v>4878.7219999999998</v>
      </c>
      <c r="M63" s="2">
        <v>4621.2340000000004</v>
      </c>
      <c r="N63" s="2">
        <f>2642.821+1978.413</f>
        <v>4621.2340000000004</v>
      </c>
      <c r="O63" s="2">
        <f>2640.827+1973.615</f>
        <v>4614.442</v>
      </c>
      <c r="P63" s="2">
        <f>2630.795+1961.22</f>
        <v>4592.0150000000003</v>
      </c>
      <c r="Q63" s="2">
        <f>2636.745+1723.638</f>
        <v>4360.3829999999998</v>
      </c>
    </row>
    <row r="64" spans="2:33" x14ac:dyDescent="0.2">
      <c r="B64" s="6" t="s">
        <v>52</v>
      </c>
      <c r="J64" s="2">
        <v>1247.056</v>
      </c>
      <c r="K64" s="2">
        <v>1227.462</v>
      </c>
      <c r="L64" s="2">
        <v>1217.172</v>
      </c>
      <c r="M64" s="2">
        <v>1372.182</v>
      </c>
      <c r="N64" s="2">
        <v>1372.182</v>
      </c>
      <c r="O64" s="2">
        <v>1349.7249999999999</v>
      </c>
      <c r="P64" s="2">
        <v>1307.643</v>
      </c>
      <c r="Q64" s="2">
        <v>1314.306</v>
      </c>
    </row>
    <row r="65" spans="2:17" x14ac:dyDescent="0.2">
      <c r="B65" s="6" t="s">
        <v>53</v>
      </c>
      <c r="J65" s="2">
        <v>1071.1369999999999</v>
      </c>
      <c r="K65" s="2">
        <v>1021.048</v>
      </c>
      <c r="L65" s="2">
        <v>1015.89</v>
      </c>
      <c r="M65" s="2">
        <v>1901.923</v>
      </c>
      <c r="N65" s="2">
        <v>1901.923</v>
      </c>
      <c r="O65" s="2">
        <v>1923.011</v>
      </c>
      <c r="P65" s="2">
        <v>1082.5609999999999</v>
      </c>
      <c r="Q65" s="2">
        <v>1092.4749999999999</v>
      </c>
    </row>
    <row r="66" spans="2:17" s="8" customFormat="1" x14ac:dyDescent="0.2">
      <c r="B66" s="9" t="s">
        <v>54</v>
      </c>
      <c r="J66" s="8">
        <f t="shared" ref="J66:Q66" si="43">SUM(J58:J65)</f>
        <v>13342.208000000001</v>
      </c>
      <c r="K66" s="8">
        <f t="shared" si="43"/>
        <v>13211.752999999999</v>
      </c>
      <c r="L66" s="8">
        <f t="shared" si="43"/>
        <v>13784.142999999998</v>
      </c>
      <c r="M66" s="8">
        <f t="shared" si="43"/>
        <v>13990.488000000001</v>
      </c>
      <c r="N66" s="8">
        <f t="shared" si="43"/>
        <v>13990.488000000001</v>
      </c>
      <c r="O66" s="8">
        <f t="shared" si="43"/>
        <v>14043.898000000001</v>
      </c>
      <c r="P66" s="8">
        <f t="shared" si="43"/>
        <v>13142.352000000001</v>
      </c>
      <c r="Q66" s="8">
        <f t="shared" si="43"/>
        <v>12616.474</v>
      </c>
    </row>
    <row r="67" spans="2:17" x14ac:dyDescent="0.2">
      <c r="B67" s="6" t="s">
        <v>7</v>
      </c>
      <c r="J67" s="2">
        <f>335.462+501.051+4584.261</f>
        <v>5420.7740000000003</v>
      </c>
      <c r="K67" s="2">
        <f>827.38+1.058+4468.399</f>
        <v>5296.8370000000004</v>
      </c>
      <c r="L67" s="2">
        <f>1692.745+832.136+3526.101</f>
        <v>6050.982</v>
      </c>
      <c r="M67" s="2">
        <f>11.491+924.305+5711.014</f>
        <v>6646.81</v>
      </c>
      <c r="N67" s="2">
        <f>11.491+924.305+5711.014</f>
        <v>6646.81</v>
      </c>
      <c r="O67" s="2">
        <f>58.52+928.736+5722.448</f>
        <v>6709.7040000000006</v>
      </c>
      <c r="P67" s="2">
        <f>1023.276+0.966+5656.725</f>
        <v>6680.9670000000006</v>
      </c>
      <c r="Q67" s="2">
        <f>452.286+1000.596+4755.252</f>
        <v>6208.134</v>
      </c>
    </row>
    <row r="68" spans="2:17" x14ac:dyDescent="0.2">
      <c r="B68" s="6" t="s">
        <v>55</v>
      </c>
      <c r="J68" s="2">
        <v>562.99199999999996</v>
      </c>
      <c r="K68" s="2">
        <v>1022.755</v>
      </c>
      <c r="L68" s="2">
        <v>1022.408</v>
      </c>
      <c r="M68" s="2">
        <v>936.31899999999996</v>
      </c>
      <c r="N68" s="2">
        <v>936.31899999999996</v>
      </c>
      <c r="O68" s="2">
        <v>1282.3130000000001</v>
      </c>
      <c r="P68" s="2">
        <v>992.91099999999994</v>
      </c>
      <c r="Q68" s="2">
        <v>974.84400000000005</v>
      </c>
    </row>
    <row r="69" spans="2:17" x14ac:dyDescent="0.2">
      <c r="B69" s="6" t="s">
        <v>56</v>
      </c>
      <c r="J69" s="2">
        <v>1915.8920000000001</v>
      </c>
      <c r="K69" s="2">
        <v>1612.8040000000001</v>
      </c>
      <c r="L69" s="2">
        <v>1798.702</v>
      </c>
      <c r="M69" s="2">
        <v>1673.6510000000001</v>
      </c>
      <c r="N69" s="2">
        <v>1673.6510000000001</v>
      </c>
      <c r="O69" s="2">
        <v>1546.866</v>
      </c>
      <c r="P69" s="2">
        <v>1527.68</v>
      </c>
      <c r="Q69" s="2">
        <v>1569.557</v>
      </c>
    </row>
    <row r="70" spans="2:17" x14ac:dyDescent="0.2">
      <c r="B70" s="6" t="s">
        <v>52</v>
      </c>
      <c r="J70" s="2">
        <v>1023.759</v>
      </c>
      <c r="K70" s="2">
        <v>1006.274</v>
      </c>
      <c r="L70" s="2">
        <v>1022.451</v>
      </c>
      <c r="M70" s="2">
        <v>1171.941</v>
      </c>
      <c r="N70" s="2">
        <v>1171.941</v>
      </c>
      <c r="O70" s="2">
        <v>1155.8520000000001</v>
      </c>
      <c r="P70" s="2">
        <v>1121.6579999999999</v>
      </c>
      <c r="Q70" s="2">
        <v>1133.749</v>
      </c>
    </row>
    <row r="71" spans="2:17" x14ac:dyDescent="0.2">
      <c r="B71" s="6" t="s">
        <v>57</v>
      </c>
      <c r="J71" s="2">
        <v>888.43600000000004</v>
      </c>
      <c r="K71" s="2">
        <v>920.59</v>
      </c>
      <c r="L71" s="2">
        <v>803.96299999999997</v>
      </c>
      <c r="M71" s="2">
        <v>651.05399999999997</v>
      </c>
      <c r="N71" s="2">
        <v>651.05399999999997</v>
      </c>
      <c r="O71" s="2">
        <v>632.4</v>
      </c>
      <c r="P71" s="2">
        <v>609.09100000000001</v>
      </c>
      <c r="Q71" s="2">
        <v>620.99699999999996</v>
      </c>
    </row>
    <row r="72" spans="2:17" s="8" customFormat="1" x14ac:dyDescent="0.2">
      <c r="B72" s="9" t="s">
        <v>58</v>
      </c>
      <c r="J72" s="8">
        <f t="shared" ref="J72:Q72" si="44">SUM(J67:J71)</f>
        <v>9811.853000000001</v>
      </c>
      <c r="K72" s="8">
        <f t="shared" si="44"/>
        <v>9859.26</v>
      </c>
      <c r="L72" s="8">
        <f t="shared" si="44"/>
        <v>10698.506000000001</v>
      </c>
      <c r="M72" s="8">
        <f t="shared" si="44"/>
        <v>11079.775000000001</v>
      </c>
      <c r="N72" s="8">
        <f t="shared" si="44"/>
        <v>11079.775000000001</v>
      </c>
      <c r="O72" s="8">
        <f t="shared" si="44"/>
        <v>11327.135000000002</v>
      </c>
      <c r="P72" s="8">
        <f t="shared" si="44"/>
        <v>10932.307000000001</v>
      </c>
      <c r="Q72" s="8">
        <f t="shared" si="44"/>
        <v>10507.280999999999</v>
      </c>
    </row>
    <row r="73" spans="2:17" x14ac:dyDescent="0.2">
      <c r="B73" s="6" t="s">
        <v>59</v>
      </c>
      <c r="J73" s="2">
        <f t="shared" ref="J73:Q73" si="45">+J66-J72</f>
        <v>3530.3549999999996</v>
      </c>
      <c r="K73" s="2">
        <f t="shared" si="45"/>
        <v>3352.4929999999986</v>
      </c>
      <c r="L73" s="2">
        <f t="shared" si="45"/>
        <v>3085.636999999997</v>
      </c>
      <c r="M73" s="2">
        <f t="shared" si="45"/>
        <v>2910.7129999999997</v>
      </c>
      <c r="N73" s="2">
        <f t="shared" si="45"/>
        <v>2910.7129999999997</v>
      </c>
      <c r="O73" s="2">
        <f t="shared" si="45"/>
        <v>2716.762999999999</v>
      </c>
      <c r="P73" s="2">
        <f t="shared" si="45"/>
        <v>2210.0450000000001</v>
      </c>
      <c r="Q73" s="2">
        <f t="shared" si="45"/>
        <v>2109.1930000000011</v>
      </c>
    </row>
    <row r="74" spans="2:17" x14ac:dyDescent="0.2">
      <c r="B74" s="6" t="s">
        <v>60</v>
      </c>
      <c r="J74" s="2">
        <f t="shared" ref="J74:Q74" si="46">+J72+J73</f>
        <v>13342.208000000001</v>
      </c>
      <c r="K74" s="2">
        <f t="shared" si="46"/>
        <v>13211.752999999999</v>
      </c>
      <c r="L74" s="2">
        <f t="shared" si="46"/>
        <v>13784.142999999998</v>
      </c>
      <c r="M74" s="2">
        <f t="shared" si="46"/>
        <v>13990.488000000001</v>
      </c>
      <c r="N74" s="2">
        <f t="shared" si="46"/>
        <v>13990.488000000001</v>
      </c>
      <c r="O74" s="2">
        <f t="shared" si="46"/>
        <v>14043.898000000001</v>
      </c>
      <c r="P74" s="2">
        <f t="shared" si="46"/>
        <v>13142.352000000001</v>
      </c>
      <c r="Q74" s="2">
        <f t="shared" si="46"/>
        <v>12616.474</v>
      </c>
    </row>
    <row r="76" spans="2:17" x14ac:dyDescent="0.2">
      <c r="B76" s="6" t="s">
        <v>61</v>
      </c>
      <c r="K76" s="2">
        <f>+J44</f>
        <v>80.473000000000297</v>
      </c>
      <c r="L76" s="2">
        <f t="shared" ref="L76:Q76" si="47">+L44</f>
        <v>303.49000000000007</v>
      </c>
      <c r="M76" s="2">
        <f t="shared" si="47"/>
        <v>507.86799999999994</v>
      </c>
      <c r="N76" s="2">
        <f t="shared" si="47"/>
        <v>98.194999999999951</v>
      </c>
      <c r="O76" s="2">
        <f t="shared" si="47"/>
        <v>-57.425000000000189</v>
      </c>
      <c r="P76" s="2">
        <f t="shared" si="47"/>
        <v>-450.69700000000012</v>
      </c>
      <c r="Q76" s="2">
        <f t="shared" si="47"/>
        <v>214.64399999999978</v>
      </c>
    </row>
    <row r="77" spans="2:17" x14ac:dyDescent="0.2">
      <c r="B77" s="6" t="s">
        <v>62</v>
      </c>
      <c r="K77" s="2">
        <f>+-55.96</f>
        <v>-55.96</v>
      </c>
      <c r="L77" s="2">
        <f>-174.392-K77</f>
        <v>-118.43199999999999</v>
      </c>
      <c r="M77" s="2">
        <f>333.476-SUM(K77:L77)</f>
        <v>507.86799999999999</v>
      </c>
      <c r="N77" s="2">
        <f>118.584-SUM(K77:M77)</f>
        <v>-214.892</v>
      </c>
      <c r="O77" s="2">
        <v>-57.424999999999997</v>
      </c>
      <c r="P77" s="2">
        <f>-508.122-O77</f>
        <v>-450.697</v>
      </c>
      <c r="Q77" s="2">
        <f>-550.574-SUM(O77:P77)</f>
        <v>-42.451999999999941</v>
      </c>
    </row>
    <row r="78" spans="2:17" x14ac:dyDescent="0.2">
      <c r="B78" s="6" t="s">
        <v>80</v>
      </c>
      <c r="K78" s="2">
        <v>0</v>
      </c>
      <c r="L78" s="2">
        <v>421.92200000000003</v>
      </c>
      <c r="M78" s="2">
        <f>421.922-SUM(K78:L78)</f>
        <v>0</v>
      </c>
      <c r="N78" s="2">
        <f>735.009-SUM(K78:M78)</f>
        <v>313.08699999999999</v>
      </c>
      <c r="O78" s="2">
        <v>0</v>
      </c>
      <c r="P78" s="2">
        <v>0</v>
      </c>
      <c r="Q78" s="2">
        <f>257.096-SUM(O78:P78)</f>
        <v>257.096</v>
      </c>
    </row>
    <row r="79" spans="2:17" x14ac:dyDescent="0.2">
      <c r="B79" s="6" t="s">
        <v>63</v>
      </c>
      <c r="K79" s="2">
        <v>66.754000000000005</v>
      </c>
      <c r="L79" s="2">
        <f>130.623-K79</f>
        <v>63.868999999999986</v>
      </c>
      <c r="M79" s="2">
        <f>192.174-SUM(K79:L79)</f>
        <v>61.551000000000016</v>
      </c>
      <c r="N79" s="2">
        <f>262.324-SUM(K79:M79)</f>
        <v>70.150000000000006</v>
      </c>
      <c r="O79" s="2">
        <v>67.075000000000003</v>
      </c>
      <c r="P79" s="2">
        <f>142.701-O79</f>
        <v>75.625999999999991</v>
      </c>
      <c r="Q79" s="2">
        <f>231.493-SUM(O79:P79)</f>
        <v>88.792000000000002</v>
      </c>
    </row>
    <row r="80" spans="2:17" x14ac:dyDescent="0.2">
      <c r="B80" s="6" t="s">
        <v>68</v>
      </c>
      <c r="K80" s="2">
        <v>93.337000000000003</v>
      </c>
      <c r="L80" s="2">
        <f>185.88-K80</f>
        <v>92.542999999999992</v>
      </c>
      <c r="M80" s="2">
        <f>280.845-SUM(K80:L80)</f>
        <v>94.965000000000032</v>
      </c>
      <c r="N80" s="2">
        <f>383.199-SUM(K80:M80)</f>
        <v>102.35399999999998</v>
      </c>
      <c r="O80" s="2">
        <v>95.727999999999994</v>
      </c>
      <c r="P80" s="2">
        <f>190.423-O80</f>
        <v>94.695000000000007</v>
      </c>
      <c r="Q80" s="2">
        <f>283.0023-SUM(O80:P80)</f>
        <v>92.579299999999989</v>
      </c>
    </row>
    <row r="81" spans="2:17" x14ac:dyDescent="0.2">
      <c r="B81" s="6" t="s">
        <v>64</v>
      </c>
      <c r="K81" s="2">
        <v>22.297000000000001</v>
      </c>
      <c r="L81" s="2">
        <f>37.474-K81</f>
        <v>15.176999999999996</v>
      </c>
      <c r="M81" s="2">
        <f>47.714-SUM(K81:L81)</f>
        <v>10.240000000000002</v>
      </c>
      <c r="N81" s="2">
        <f>60.354-SUM(K81:M81)</f>
        <v>12.64</v>
      </c>
      <c r="O81" s="2">
        <v>15.784000000000001</v>
      </c>
      <c r="P81" s="2">
        <f>35.204-O81</f>
        <v>19.420000000000002</v>
      </c>
      <c r="Q81" s="2">
        <f>51.665-SUM(O81:P81)</f>
        <v>16.460999999999999</v>
      </c>
    </row>
    <row r="82" spans="2:17" x14ac:dyDescent="0.2">
      <c r="B82" s="6" t="s">
        <v>65</v>
      </c>
      <c r="K82" s="2">
        <v>0.89900000000000002</v>
      </c>
      <c r="L82" s="2">
        <f>1.004-K82</f>
        <v>0.10499999999999998</v>
      </c>
      <c r="M82" s="2">
        <f>1.231-SUM(K82:L82)</f>
        <v>0.22700000000000009</v>
      </c>
      <c r="N82" s="2">
        <f>3.532-SUM(K82:M82)</f>
        <v>2.3010000000000002</v>
      </c>
      <c r="O82" s="2">
        <v>4.633</v>
      </c>
      <c r="P82" s="2">
        <f>5.585-O82</f>
        <v>0.95199999999999996</v>
      </c>
      <c r="Q82" s="2">
        <f>7.157-SUM(O82:P82)</f>
        <v>1.5720000000000001</v>
      </c>
    </row>
    <row r="83" spans="2:17" x14ac:dyDescent="0.2">
      <c r="B83" s="6" t="s">
        <v>66</v>
      </c>
      <c r="K83" s="2">
        <v>89.277000000000001</v>
      </c>
      <c r="L83" s="2">
        <f>85.779-K83</f>
        <v>-3.4980000000000047</v>
      </c>
      <c r="M83" s="2">
        <f>83.278-SUM(K83:L83)</f>
        <v>-2.5009999999999906</v>
      </c>
      <c r="N83" s="2">
        <f>79.197-SUM(K83:M83)</f>
        <v>-4.0810000000000031</v>
      </c>
      <c r="O83" s="2">
        <v>-10.661</v>
      </c>
      <c r="P83" s="2">
        <f>-10.151-O83</f>
        <v>0.50999999999999979</v>
      </c>
      <c r="Q83" s="2">
        <f>-10.691-SUM(O83:P83)</f>
        <v>-0.54000000000000092</v>
      </c>
    </row>
    <row r="84" spans="2:17" x14ac:dyDescent="0.2">
      <c r="B84" s="6" t="s">
        <v>78</v>
      </c>
      <c r="K84" s="2">
        <v>0</v>
      </c>
      <c r="L84" s="2">
        <f>-40.396-K84</f>
        <v>-40.396000000000001</v>
      </c>
      <c r="M84" s="2">
        <f>-4.488-SUM(K84:L84)</f>
        <v>35.908000000000001</v>
      </c>
      <c r="N84" s="2">
        <f>-53.554-SUM(K84:M84)</f>
        <v>-49.066000000000003</v>
      </c>
      <c r="O84" s="2">
        <v>0</v>
      </c>
      <c r="P84" s="2">
        <v>-256.048</v>
      </c>
      <c r="Q84" s="2">
        <f>-258.338-SUM(O84:P84)</f>
        <v>-2.2900000000000205</v>
      </c>
    </row>
    <row r="85" spans="2:17" x14ac:dyDescent="0.2">
      <c r="B85" s="6" t="s">
        <v>79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921.40899999999999</v>
      </c>
      <c r="Q85" s="2">
        <f>921.409-SUM(O85:P85)</f>
        <v>0</v>
      </c>
    </row>
    <row r="86" spans="2:17" x14ac:dyDescent="0.2">
      <c r="B86" s="6" t="s">
        <v>67</v>
      </c>
      <c r="K86" s="2">
        <v>6.8129999999999997</v>
      </c>
      <c r="L86" s="2">
        <f>33.308-K86</f>
        <v>26.495000000000001</v>
      </c>
      <c r="M86" s="2">
        <f>15.228-SUM(K86:L86)</f>
        <v>-18.079999999999998</v>
      </c>
      <c r="N86" s="2">
        <f>-11.433-SUM(K86:M86)</f>
        <v>-26.661000000000001</v>
      </c>
      <c r="O86" s="2">
        <v>10.645</v>
      </c>
      <c r="P86" s="2">
        <f>4.363-O86</f>
        <v>-6.2819999999999991</v>
      </c>
      <c r="Q86" s="2">
        <f>-10.931-SUM(O86:P86)</f>
        <v>-15.294</v>
      </c>
    </row>
    <row r="87" spans="2:17" x14ac:dyDescent="0.2">
      <c r="B87" s="6" t="s">
        <v>48</v>
      </c>
      <c r="K87" s="2">
        <v>174</v>
      </c>
      <c r="L87" s="2">
        <f>-461.904-K87</f>
        <v>-635.904</v>
      </c>
      <c r="M87" s="2">
        <f>-120.081-SUM(K87:L87)</f>
        <v>341.82299999999998</v>
      </c>
      <c r="N87" s="2">
        <f>-147.331-SUM(K87:M87)</f>
        <v>-27.249999999999972</v>
      </c>
      <c r="O87" s="2">
        <v>395.11</v>
      </c>
      <c r="P87" s="2">
        <f>-313.866-O87</f>
        <v>-708.976</v>
      </c>
      <c r="Q87" s="2">
        <f>305.49-SUM(O87:P87)</f>
        <v>619.35599999999999</v>
      </c>
    </row>
    <row r="88" spans="2:17" x14ac:dyDescent="0.2">
      <c r="B88" s="6" t="s">
        <v>47</v>
      </c>
      <c r="K88" s="2">
        <v>-961.11300000000006</v>
      </c>
      <c r="L88" s="2">
        <f>-1434.47-K88</f>
        <v>-473.35699999999997</v>
      </c>
      <c r="M88" s="2">
        <f>-1200.438-SUM(K88:L88)</f>
        <v>234.03199999999993</v>
      </c>
      <c r="N88" s="2">
        <f>-890.173-SUM(K88:M88)</f>
        <v>310.2650000000001</v>
      </c>
      <c r="O88" s="2">
        <v>-493.72</v>
      </c>
      <c r="P88" s="2">
        <f>-222.116-O88</f>
        <v>271.60400000000004</v>
      </c>
      <c r="Q88" s="2">
        <f>148.455-SUM(O88:P88)</f>
        <v>370.57100000000003</v>
      </c>
    </row>
    <row r="89" spans="2:17" x14ac:dyDescent="0.2">
      <c r="B89" s="6" t="s">
        <v>55</v>
      </c>
      <c r="K89" s="2">
        <v>471.065</v>
      </c>
      <c r="L89" s="2">
        <f>494.424-K89</f>
        <v>23.35899999999998</v>
      </c>
      <c r="M89" s="2">
        <f>352.047-SUM(K89:L89)</f>
        <v>-142.37699999999995</v>
      </c>
      <c r="N89" s="2">
        <f>377.433-SUM(K89:M89)</f>
        <v>25.385999999999967</v>
      </c>
      <c r="O89" s="2">
        <v>344.48200000000003</v>
      </c>
      <c r="P89" s="2">
        <f>72.314-O89</f>
        <v>-272.16800000000001</v>
      </c>
      <c r="Q89" s="2">
        <f>41.663-SUM(O89:P89)</f>
        <v>-30.651000000000025</v>
      </c>
    </row>
    <row r="90" spans="2:17" x14ac:dyDescent="0.2">
      <c r="B90" s="6" t="s">
        <v>34</v>
      </c>
      <c r="K90" s="2">
        <v>-70.727000000000004</v>
      </c>
      <c r="L90" s="2">
        <f>-193.671-K90</f>
        <v>-122.94399999999999</v>
      </c>
      <c r="M90" s="2">
        <f>-1178.547-SUM(K90:L90)</f>
        <v>-984.87599999999998</v>
      </c>
      <c r="N90" s="2">
        <f>-1148.61-SUM(K90:M90)</f>
        <v>29.937000000000126</v>
      </c>
      <c r="O90" s="2">
        <v>-30.667000000000002</v>
      </c>
      <c r="P90" s="2">
        <f>41.718-O90</f>
        <v>72.385000000000005</v>
      </c>
      <c r="Q90" s="2">
        <f>-201.151-SUM(O90:P90)</f>
        <v>-242.86900000000003</v>
      </c>
    </row>
    <row r="91" spans="2:17" x14ac:dyDescent="0.2">
      <c r="B91" s="6" t="s">
        <v>56</v>
      </c>
      <c r="K91" s="2">
        <v>-94.745999999999995</v>
      </c>
      <c r="L91" s="2">
        <f>138.51-K91</f>
        <v>233.25599999999997</v>
      </c>
      <c r="M91" s="2">
        <f>173.148-SUM(K91:L91)</f>
        <v>34.638000000000005</v>
      </c>
      <c r="N91" s="2">
        <f>-91.65-SUM(K91:M91)</f>
        <v>-264.798</v>
      </c>
      <c r="O91" s="2">
        <v>-66.581000000000003</v>
      </c>
      <c r="P91" s="2">
        <f>85.205-O91</f>
        <v>151.786</v>
      </c>
      <c r="Q91" s="2">
        <f>185.187-SUM(O91:P91)</f>
        <v>99.982000000000014</v>
      </c>
    </row>
    <row r="92" spans="2:17" x14ac:dyDescent="0.2">
      <c r="B92" s="6" t="s">
        <v>52</v>
      </c>
      <c r="K92" s="2">
        <v>-93.733999999999995</v>
      </c>
      <c r="L92" s="2">
        <f>-190.171-K92</f>
        <v>-96.436999999999998</v>
      </c>
      <c r="M92" s="2">
        <f>-290.679-SUM(K92:L92)</f>
        <v>-100.50799999999998</v>
      </c>
      <c r="N92" s="2">
        <f>-379.963-SUM(K92:M92)</f>
        <v>-89.284000000000049</v>
      </c>
      <c r="O92" s="2">
        <v>-102.688</v>
      </c>
      <c r="P92" s="2">
        <f>-193.298-O92</f>
        <v>-90.61</v>
      </c>
      <c r="Q92" s="2">
        <f>-282.361-SUM(O92:P92)</f>
        <v>-89.062999999999988</v>
      </c>
    </row>
    <row r="93" spans="2:17" x14ac:dyDescent="0.2">
      <c r="B93" s="6" t="s">
        <v>67</v>
      </c>
      <c r="K93" s="2">
        <v>-6.6070000000000002</v>
      </c>
      <c r="L93" s="2">
        <f>52.123-K93</f>
        <v>58.73</v>
      </c>
      <c r="M93" s="2">
        <f>59.698-SUM(K93:L93)</f>
        <v>7.5750000000000028</v>
      </c>
      <c r="N93" s="2">
        <f>47.287-SUM(K93:M93)</f>
        <v>-12.411000000000001</v>
      </c>
      <c r="O93" s="2">
        <v>-8.14</v>
      </c>
      <c r="P93" s="2">
        <f>-14.582-O93</f>
        <v>-6.4420000000000002</v>
      </c>
      <c r="Q93" s="2">
        <f>-12.824-SUM(O93:P93)</f>
        <v>1.7580000000000009</v>
      </c>
    </row>
    <row r="94" spans="2:17" x14ac:dyDescent="0.2">
      <c r="B94" s="6" t="s">
        <v>76</v>
      </c>
      <c r="K94" s="2">
        <f t="shared" ref="K94:Q94" si="48">+SUM(K87:K93)</f>
        <v>-581.86200000000008</v>
      </c>
      <c r="L94" s="2">
        <f t="shared" si="48"/>
        <v>-1013.297</v>
      </c>
      <c r="M94" s="2">
        <f t="shared" si="48"/>
        <v>-609.69299999999998</v>
      </c>
      <c r="N94" s="2">
        <f t="shared" si="48"/>
        <v>-28.154999999999859</v>
      </c>
      <c r="O94" s="2">
        <f t="shared" si="48"/>
        <v>37.796000000000021</v>
      </c>
      <c r="P94" s="2">
        <f t="shared" si="48"/>
        <v>-582.42099999999994</v>
      </c>
      <c r="Q94" s="2">
        <f t="shared" si="48"/>
        <v>729.08399999999995</v>
      </c>
    </row>
    <row r="95" spans="2:17" s="8" customFormat="1" x14ac:dyDescent="0.2">
      <c r="B95" s="9" t="s">
        <v>69</v>
      </c>
      <c r="K95" s="8">
        <f t="shared" ref="K95:Q95" si="49">+SUM(K77:K86)+K94</f>
        <v>-358.44500000000011</v>
      </c>
      <c r="L95" s="8">
        <f t="shared" si="49"/>
        <v>-555.51199999999994</v>
      </c>
      <c r="M95" s="8">
        <f t="shared" si="49"/>
        <v>80.485000000000014</v>
      </c>
      <c r="N95" s="8">
        <f t="shared" si="49"/>
        <v>177.67700000000005</v>
      </c>
      <c r="O95" s="8">
        <f t="shared" si="49"/>
        <v>163.57500000000002</v>
      </c>
      <c r="P95" s="8">
        <f t="shared" si="49"/>
        <v>-182.83599999999996</v>
      </c>
      <c r="Q95" s="8">
        <f t="shared" si="49"/>
        <v>1125.0083</v>
      </c>
    </row>
    <row r="97" spans="2:17" x14ac:dyDescent="0.2">
      <c r="B97" s="6" t="s">
        <v>70</v>
      </c>
      <c r="K97" s="2">
        <v>-52.656999999999996</v>
      </c>
      <c r="L97" s="2">
        <f>-89.958-K97</f>
        <v>-37.301000000000002</v>
      </c>
      <c r="M97" s="2">
        <f>-130.214-SUM(K97:L97)</f>
        <v>-40.256</v>
      </c>
      <c r="N97" s="2">
        <f>-165.925-SUM(K97:M97)</f>
        <v>-35.711000000000013</v>
      </c>
      <c r="O97" s="2">
        <v>-61.762999999999998</v>
      </c>
      <c r="P97" s="2">
        <f>-96.343-O97</f>
        <v>-34.580000000000005</v>
      </c>
      <c r="Q97" s="2">
        <f>-119.662-SUM(O97:P97)</f>
        <v>-23.319000000000003</v>
      </c>
    </row>
    <row r="98" spans="2:17" s="8" customFormat="1" x14ac:dyDescent="0.2">
      <c r="B98" s="9" t="s">
        <v>71</v>
      </c>
      <c r="K98" s="8">
        <f t="shared" ref="K98:Q98" si="50">+K95+K97</f>
        <v>-411.10200000000009</v>
      </c>
      <c r="L98" s="8">
        <f t="shared" si="50"/>
        <v>-592.81299999999999</v>
      </c>
      <c r="M98" s="8">
        <f t="shared" si="50"/>
        <v>40.229000000000013</v>
      </c>
      <c r="N98" s="8">
        <f t="shared" si="50"/>
        <v>141.96600000000004</v>
      </c>
      <c r="O98" s="8">
        <f t="shared" si="50"/>
        <v>101.81200000000001</v>
      </c>
      <c r="P98" s="8">
        <f t="shared" si="50"/>
        <v>-217.41599999999997</v>
      </c>
      <c r="Q98" s="8">
        <f t="shared" si="50"/>
        <v>1101.6893</v>
      </c>
    </row>
    <row r="100" spans="2:17" x14ac:dyDescent="0.2">
      <c r="B100" s="6" t="s">
        <v>72</v>
      </c>
      <c r="K100" s="2">
        <v>491.91699999999997</v>
      </c>
      <c r="L100" s="2">
        <f>1357.284-K100</f>
        <v>865.36700000000019</v>
      </c>
      <c r="M100" s="2">
        <f>566.206-SUM(K100:L100)</f>
        <v>-791.07800000000009</v>
      </c>
      <c r="N100" s="2">
        <f>-323.972-SUM(K100:M100)</f>
        <v>-890.178</v>
      </c>
      <c r="O100" s="2">
        <v>47.029000000000003</v>
      </c>
      <c r="P100" s="2">
        <f>1017.895-O100</f>
        <v>970.86599999999999</v>
      </c>
      <c r="Q100" s="2">
        <f>443.494-SUM(O100:P100)</f>
        <v>-574.40099999999995</v>
      </c>
    </row>
    <row r="101" spans="2:17" x14ac:dyDescent="0.2">
      <c r="B101" s="6" t="s">
        <v>73</v>
      </c>
      <c r="K101" s="2">
        <v>-500.26100000000002</v>
      </c>
      <c r="L101" s="2">
        <f>-500.522-K101</f>
        <v>-0.26099999999996726</v>
      </c>
      <c r="M101" s="2">
        <f>-500.786-SUM(K101:L101)</f>
        <v>-0.26400000000001</v>
      </c>
      <c r="N101" s="2">
        <f>-501.051-SUM(K101:M101)</f>
        <v>-0.26499999999998636</v>
      </c>
      <c r="O101" s="2">
        <v>-0.26800000000000002</v>
      </c>
      <c r="P101" s="2">
        <f>-907.656-O101</f>
        <v>-907.38799999999992</v>
      </c>
      <c r="Q101" s="2">
        <f>-907.926-SUM(O101:P101)</f>
        <v>-0.2700000000000955</v>
      </c>
    </row>
    <row r="102" spans="2:17" x14ac:dyDescent="0.2">
      <c r="B102" s="6" t="s">
        <v>74</v>
      </c>
      <c r="K102" s="2">
        <v>-194.13499999999999</v>
      </c>
      <c r="L102" s="2">
        <f>-388.284-K102</f>
        <v>-194.149</v>
      </c>
      <c r="M102" s="2">
        <f>-586.335-SUM(K102:L102)</f>
        <v>-198.05100000000004</v>
      </c>
      <c r="N102" s="2">
        <f>-702.846-SUM(K102:M102)</f>
        <v>-116.51099999999997</v>
      </c>
      <c r="O102" s="2">
        <v>-116.575</v>
      </c>
      <c r="P102" s="2">
        <f>-233.172-O102</f>
        <v>-116.59699999999999</v>
      </c>
      <c r="Q102" s="2">
        <f>-268.155-SUM(O102:P102)</f>
        <v>-34.982999999999976</v>
      </c>
    </row>
    <row r="103" spans="2:17" x14ac:dyDescent="0.2">
      <c r="B103" s="6" t="s">
        <v>75</v>
      </c>
      <c r="K103" s="2">
        <v>-1.766</v>
      </c>
      <c r="L103" s="2">
        <f>-1.931-K103</f>
        <v>-0.16500000000000004</v>
      </c>
      <c r="M103" s="2">
        <f>-2.571-SUM(K103:L103)</f>
        <v>-0.64000000000000012</v>
      </c>
      <c r="N103" s="2">
        <f>-2.794-SUM(K103:M103)</f>
        <v>-0.22299999999999986</v>
      </c>
      <c r="O103" s="2">
        <v>-1.7250000000000001</v>
      </c>
      <c r="P103" s="2">
        <f>-2.392-O103</f>
        <v>-0.66699999999999982</v>
      </c>
      <c r="Q103" s="2">
        <f>-2.603-SUM(O103:P103)</f>
        <v>-0.2110000000000003</v>
      </c>
    </row>
    <row r="105" spans="2:17" x14ac:dyDescent="0.2">
      <c r="B105" s="6" t="s">
        <v>77</v>
      </c>
      <c r="K105" s="2">
        <v>529.03399999999999</v>
      </c>
      <c r="L105" s="2">
        <v>554.29700000000003</v>
      </c>
      <c r="M105" s="2">
        <v>572.98400000000004</v>
      </c>
      <c r="N105" s="2">
        <v>816.31799999999998</v>
      </c>
      <c r="O105" s="2">
        <v>808.12099999999998</v>
      </c>
      <c r="P105" s="2">
        <v>500.23599999999999</v>
      </c>
      <c r="Q105" s="2">
        <v>989.322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2878-D035-427D-B55E-3DD8EB141916}">
  <dimension ref="A2:V13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2" sqref="L2"/>
    </sheetView>
  </sheetViews>
  <sheetFormatPr defaultRowHeight="12.75" x14ac:dyDescent="0.2"/>
  <cols>
    <col min="1" max="1" width="2.85546875" style="2" customWidth="1"/>
    <col min="2" max="2" width="24.42578125" style="2" customWidth="1"/>
    <col min="3" max="3" width="9.140625" style="16" customWidth="1"/>
    <col min="4" max="4" width="10.140625" style="16" customWidth="1"/>
    <col min="5" max="7" width="9.140625" style="16"/>
    <col min="8" max="9" width="9.5703125" style="16" bestFit="1" customWidth="1"/>
    <col min="10" max="10" width="9.140625" style="16"/>
    <col min="11" max="15" width="9.140625" style="48"/>
    <col min="16" max="19" width="9.140625" style="16"/>
    <col min="20" max="20" width="61.85546875" style="2" bestFit="1" customWidth="1"/>
    <col min="21" max="21" width="24" style="2" bestFit="1" customWidth="1"/>
    <col min="22" max="16384" width="9.140625" style="2"/>
  </cols>
  <sheetData>
    <row r="2" spans="2:21" ht="34.5" x14ac:dyDescent="0.45">
      <c r="B2" s="56" t="s">
        <v>0</v>
      </c>
    </row>
    <row r="3" spans="2:21" x14ac:dyDescent="0.2">
      <c r="B3" s="13"/>
      <c r="O3" s="63"/>
      <c r="S3" s="44"/>
      <c r="T3" s="13" t="s">
        <v>125</v>
      </c>
    </row>
    <row r="4" spans="2:21" s="43" customFormat="1" x14ac:dyDescent="0.2">
      <c r="B4" s="36" t="s">
        <v>173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10</v>
      </c>
      <c r="J4" s="32" t="s">
        <v>9</v>
      </c>
      <c r="K4" s="64"/>
      <c r="L4" s="64"/>
      <c r="M4" s="64"/>
      <c r="N4" s="64"/>
      <c r="O4" s="64">
        <v>2020</v>
      </c>
      <c r="P4" s="43">
        <v>2021</v>
      </c>
      <c r="Q4" s="43">
        <v>2022</v>
      </c>
      <c r="R4" s="43">
        <v>2023</v>
      </c>
    </row>
    <row r="5" spans="2:21" x14ac:dyDescent="0.2">
      <c r="B5" s="8" t="s">
        <v>140</v>
      </c>
      <c r="P5" s="15"/>
    </row>
    <row r="6" spans="2:21" x14ac:dyDescent="0.2">
      <c r="B6" s="2" t="s">
        <v>41</v>
      </c>
      <c r="P6" s="2">
        <v>200</v>
      </c>
      <c r="Q6" s="16">
        <v>200</v>
      </c>
      <c r="R6" s="2">
        <v>230</v>
      </c>
      <c r="S6" s="2"/>
      <c r="T6" s="2" t="s">
        <v>105</v>
      </c>
      <c r="U6" s="55" t="s">
        <v>161</v>
      </c>
    </row>
    <row r="7" spans="2:21" x14ac:dyDescent="0.2">
      <c r="B7" s="2" t="s">
        <v>42</v>
      </c>
      <c r="P7" s="2">
        <v>200</v>
      </c>
      <c r="Q7" s="16">
        <v>200</v>
      </c>
      <c r="R7" s="2">
        <v>170</v>
      </c>
      <c r="S7" s="2"/>
      <c r="T7" s="2" t="s">
        <v>107</v>
      </c>
      <c r="U7" s="55" t="s">
        <v>162</v>
      </c>
    </row>
    <row r="8" spans="2:21" x14ac:dyDescent="0.2">
      <c r="B8" s="2" t="s">
        <v>85</v>
      </c>
      <c r="P8" s="2">
        <v>0</v>
      </c>
      <c r="Q8" s="16">
        <v>0</v>
      </c>
      <c r="R8" s="2">
        <v>0</v>
      </c>
      <c r="S8" s="2"/>
      <c r="T8" s="2" t="s">
        <v>112</v>
      </c>
      <c r="U8" s="55" t="s">
        <v>163</v>
      </c>
    </row>
    <row r="9" spans="2:21" x14ac:dyDescent="0.2">
      <c r="B9" s="2" t="s">
        <v>139</v>
      </c>
      <c r="P9" s="2">
        <v>30</v>
      </c>
      <c r="Q9" s="16">
        <v>30</v>
      </c>
      <c r="R9" s="2">
        <v>25</v>
      </c>
      <c r="S9" s="2"/>
      <c r="T9" s="31" t="s">
        <v>149</v>
      </c>
      <c r="U9" s="55" t="s">
        <v>165</v>
      </c>
    </row>
    <row r="10" spans="2:21" x14ac:dyDescent="0.2">
      <c r="B10" s="2" t="s">
        <v>145</v>
      </c>
      <c r="P10" s="2">
        <v>0</v>
      </c>
      <c r="Q10" s="16">
        <v>0</v>
      </c>
      <c r="R10" s="2">
        <v>0</v>
      </c>
      <c r="S10" s="2"/>
      <c r="T10" s="31" t="s">
        <v>150</v>
      </c>
      <c r="U10" s="55" t="s">
        <v>164</v>
      </c>
    </row>
    <row r="11" spans="2:21" x14ac:dyDescent="0.2">
      <c r="B11" s="8" t="s">
        <v>141</v>
      </c>
      <c r="P11" s="2"/>
      <c r="R11" s="2"/>
      <c r="S11" s="2"/>
    </row>
    <row r="12" spans="2:21" x14ac:dyDescent="0.2">
      <c r="B12" s="2" t="s">
        <v>40</v>
      </c>
      <c r="P12" s="2">
        <v>700</v>
      </c>
      <c r="Q12" s="16">
        <v>700</v>
      </c>
      <c r="R12" s="2">
        <v>750</v>
      </c>
      <c r="S12" s="2"/>
      <c r="T12" s="2" t="s">
        <v>106</v>
      </c>
      <c r="U12" s="55" t="s">
        <v>166</v>
      </c>
    </row>
    <row r="13" spans="2:21" x14ac:dyDescent="0.2">
      <c r="B13" s="2" t="s">
        <v>159</v>
      </c>
      <c r="P13" s="2">
        <v>10</v>
      </c>
      <c r="Q13" s="16">
        <v>10</v>
      </c>
      <c r="R13" s="2">
        <v>15</v>
      </c>
      <c r="S13" s="2"/>
      <c r="T13" s="31" t="s">
        <v>160</v>
      </c>
      <c r="U13" s="55" t="s">
        <v>167</v>
      </c>
    </row>
    <row r="14" spans="2:21" x14ac:dyDescent="0.2">
      <c r="B14" s="2" t="s">
        <v>126</v>
      </c>
      <c r="P14" s="2">
        <v>25</v>
      </c>
      <c r="Q14" s="16">
        <v>25</v>
      </c>
      <c r="R14" s="2">
        <v>25</v>
      </c>
      <c r="S14" s="2"/>
      <c r="T14" s="2" t="s">
        <v>109</v>
      </c>
      <c r="U14" s="55" t="s">
        <v>169</v>
      </c>
    </row>
    <row r="15" spans="2:21" x14ac:dyDescent="0.2">
      <c r="B15" s="2" t="s">
        <v>82</v>
      </c>
      <c r="P15" s="2">
        <v>60</v>
      </c>
      <c r="Q15" s="16">
        <v>40</v>
      </c>
      <c r="R15" s="2">
        <v>40</v>
      </c>
      <c r="S15" s="2"/>
      <c r="T15" s="2" t="s">
        <v>108</v>
      </c>
      <c r="U15" s="55" t="s">
        <v>168</v>
      </c>
    </row>
    <row r="16" spans="2:21" x14ac:dyDescent="0.2">
      <c r="B16" s="2" t="s">
        <v>144</v>
      </c>
      <c r="P16" s="2">
        <v>0</v>
      </c>
      <c r="Q16" s="16">
        <v>0</v>
      </c>
      <c r="R16" s="2">
        <v>0</v>
      </c>
      <c r="S16" s="2"/>
      <c r="T16" s="2" t="s">
        <v>113</v>
      </c>
      <c r="U16" s="55" t="s">
        <v>170</v>
      </c>
    </row>
    <row r="17" spans="1:21" x14ac:dyDescent="0.2">
      <c r="A17" s="37"/>
      <c r="B17" s="22" t="s">
        <v>83</v>
      </c>
      <c r="E17" s="45"/>
      <c r="F17" s="45"/>
      <c r="J17" s="45"/>
      <c r="K17" s="65"/>
      <c r="O17" s="66"/>
      <c r="P17" s="22">
        <v>0</v>
      </c>
      <c r="Q17" s="47">
        <v>0</v>
      </c>
      <c r="R17" s="22">
        <v>0</v>
      </c>
      <c r="S17" s="22"/>
      <c r="T17" s="22" t="s">
        <v>110</v>
      </c>
      <c r="U17" s="55" t="s">
        <v>171</v>
      </c>
    </row>
    <row r="18" spans="1:21" x14ac:dyDescent="0.2">
      <c r="B18" s="8" t="s">
        <v>142</v>
      </c>
      <c r="P18" s="2"/>
      <c r="R18" s="2"/>
      <c r="S18" s="2"/>
    </row>
    <row r="19" spans="1:21" x14ac:dyDescent="0.2">
      <c r="B19" s="2" t="s">
        <v>43</v>
      </c>
      <c r="P19" s="2">
        <v>20</v>
      </c>
      <c r="Q19" s="16">
        <v>20</v>
      </c>
      <c r="R19" s="2">
        <v>15</v>
      </c>
      <c r="S19" s="2"/>
      <c r="T19" s="2" t="s">
        <v>135</v>
      </c>
      <c r="U19" s="55" t="s">
        <v>172</v>
      </c>
    </row>
    <row r="20" spans="1:21" x14ac:dyDescent="0.2">
      <c r="B20" s="2" t="s">
        <v>146</v>
      </c>
      <c r="E20" s="59"/>
      <c r="F20" s="59"/>
      <c r="P20" s="2">
        <v>0</v>
      </c>
      <c r="Q20" s="16">
        <v>0</v>
      </c>
      <c r="R20" s="2">
        <v>0</v>
      </c>
      <c r="S20" s="2"/>
      <c r="T20" s="31" t="s">
        <v>151</v>
      </c>
      <c r="U20" s="55" t="s">
        <v>162</v>
      </c>
    </row>
    <row r="21" spans="1:21" x14ac:dyDescent="0.2">
      <c r="P21" s="2">
        <f>+SUM(P6:P20)</f>
        <v>1245</v>
      </c>
      <c r="Q21" s="2">
        <f>+SUM(Q6:Q20)</f>
        <v>1225</v>
      </c>
      <c r="R21" s="2">
        <f>+SUM(R6:R20)</f>
        <v>1270</v>
      </c>
      <c r="S21" s="2"/>
    </row>
    <row r="22" spans="1:21" x14ac:dyDescent="0.2">
      <c r="B22" s="2" t="s">
        <v>181</v>
      </c>
    </row>
    <row r="23" spans="1:21" x14ac:dyDescent="0.2">
      <c r="B23" s="8" t="s">
        <v>180</v>
      </c>
    </row>
    <row r="24" spans="1:21" x14ac:dyDescent="0.2">
      <c r="B24" s="8" t="s">
        <v>157</v>
      </c>
    </row>
    <row r="25" spans="1:21" s="42" customFormat="1" x14ac:dyDescent="0.2">
      <c r="B25" s="42" t="s">
        <v>40</v>
      </c>
      <c r="C25" s="57"/>
      <c r="D25" s="57"/>
      <c r="E25" s="57"/>
      <c r="F25" s="57">
        <v>625.6</v>
      </c>
      <c r="G25" s="57"/>
      <c r="H25" s="57"/>
      <c r="I25" s="57"/>
      <c r="J25" s="57">
        <v>434.1</v>
      </c>
      <c r="K25" s="67"/>
      <c r="L25" s="67"/>
      <c r="M25" s="67"/>
      <c r="N25" s="67"/>
      <c r="O25" s="67">
        <f>2379.9+329.9</f>
        <v>2709.8</v>
      </c>
      <c r="P25" s="57">
        <f>1945+191.7</f>
        <v>2136.6999999999998</v>
      </c>
      <c r="Q25" s="57"/>
      <c r="R25" s="57"/>
      <c r="S25" s="57"/>
    </row>
    <row r="26" spans="1:21" s="42" customFormat="1" x14ac:dyDescent="0.2">
      <c r="B26" s="42" t="s">
        <v>41</v>
      </c>
      <c r="C26" s="57"/>
      <c r="D26" s="57"/>
      <c r="E26" s="57"/>
      <c r="F26" s="57">
        <v>731.8</v>
      </c>
      <c r="G26" s="57"/>
      <c r="H26" s="57"/>
      <c r="I26" s="57"/>
      <c r="J26" s="57">
        <v>557.70000000000005</v>
      </c>
      <c r="K26" s="67"/>
      <c r="L26" s="67"/>
      <c r="M26" s="67"/>
      <c r="N26" s="67"/>
      <c r="O26" s="67">
        <f>1516+144.2</f>
        <v>1660.2</v>
      </c>
      <c r="P26" s="57">
        <f>1211.8+128.9</f>
        <v>1340.7</v>
      </c>
      <c r="Q26" s="57"/>
      <c r="R26" s="57"/>
      <c r="S26" s="57"/>
    </row>
    <row r="27" spans="1:21" s="42" customFormat="1" x14ac:dyDescent="0.2">
      <c r="B27" s="42" t="s">
        <v>42</v>
      </c>
      <c r="C27" s="57"/>
      <c r="D27" s="57"/>
      <c r="E27" s="57"/>
      <c r="F27" s="57">
        <v>330.7</v>
      </c>
      <c r="G27" s="57"/>
      <c r="H27" s="57"/>
      <c r="I27" s="57"/>
      <c r="J27" s="57">
        <v>231.4</v>
      </c>
      <c r="K27" s="67"/>
      <c r="L27" s="67"/>
      <c r="M27" s="67"/>
      <c r="N27" s="67"/>
      <c r="O27" s="67">
        <f>735.2+117.5</f>
        <v>852.7</v>
      </c>
      <c r="P27" s="57">
        <f>615.8+83.5</f>
        <v>699.3</v>
      </c>
      <c r="Q27" s="57"/>
      <c r="R27" s="57"/>
      <c r="S27" s="57"/>
    </row>
    <row r="28" spans="1:21" s="42" customFormat="1" x14ac:dyDescent="0.2">
      <c r="B28" s="42" t="s">
        <v>43</v>
      </c>
      <c r="C28" s="57"/>
      <c r="D28" s="57"/>
      <c r="E28" s="57"/>
      <c r="F28" s="57">
        <v>125.4</v>
      </c>
      <c r="G28" s="57"/>
      <c r="H28" s="57"/>
      <c r="I28" s="57"/>
      <c r="J28" s="57">
        <v>111.5</v>
      </c>
      <c r="K28" s="67"/>
      <c r="L28" s="67"/>
      <c r="M28" s="67"/>
      <c r="N28" s="67"/>
      <c r="O28" s="67">
        <f>398.5+22.6</f>
        <v>421.1</v>
      </c>
      <c r="P28" s="57">
        <f>415.4+21.8</f>
        <v>437.2</v>
      </c>
      <c r="Q28" s="57"/>
      <c r="R28" s="57"/>
      <c r="S28" s="57"/>
    </row>
    <row r="29" spans="1:21" s="42" customFormat="1" x14ac:dyDescent="0.2">
      <c r="B29" s="42" t="s">
        <v>155</v>
      </c>
      <c r="C29" s="57"/>
      <c r="D29" s="57"/>
      <c r="E29" s="57"/>
      <c r="F29" s="57">
        <f>+SUM(F25:F28)</f>
        <v>1813.5000000000002</v>
      </c>
      <c r="G29" s="57"/>
      <c r="H29" s="57"/>
      <c r="I29" s="57"/>
      <c r="J29" s="57">
        <f>+SUM(J25:J28)</f>
        <v>1334.7</v>
      </c>
      <c r="K29" s="67"/>
      <c r="L29" s="67"/>
      <c r="M29" s="67"/>
      <c r="N29" s="67"/>
      <c r="O29" s="57">
        <f>+SUM(O25:O28)</f>
        <v>5643.8</v>
      </c>
      <c r="P29" s="57">
        <f>+SUM(P25:P28)</f>
        <v>4613.8999999999996</v>
      </c>
      <c r="Q29" s="57"/>
      <c r="R29" s="57"/>
      <c r="S29" s="57"/>
    </row>
    <row r="30" spans="1:21" s="42" customFormat="1" x14ac:dyDescent="0.2">
      <c r="B30" s="58" t="s">
        <v>127</v>
      </c>
      <c r="C30" s="57"/>
      <c r="D30" s="57"/>
      <c r="E30" s="57"/>
      <c r="F30" s="57"/>
      <c r="G30" s="57"/>
      <c r="H30" s="57"/>
      <c r="I30" s="57"/>
      <c r="J30" s="57"/>
      <c r="K30" s="67"/>
      <c r="L30" s="67"/>
      <c r="M30" s="67"/>
      <c r="N30" s="67"/>
      <c r="O30" s="67"/>
      <c r="P30" s="57"/>
      <c r="Q30" s="57"/>
      <c r="R30" s="57"/>
      <c r="S30" s="57"/>
    </row>
    <row r="31" spans="1:21" s="42" customFormat="1" x14ac:dyDescent="0.2">
      <c r="B31" s="42" t="s">
        <v>40</v>
      </c>
      <c r="C31" s="57"/>
      <c r="D31" s="57"/>
      <c r="E31" s="57"/>
      <c r="F31" s="57">
        <v>185.1</v>
      </c>
      <c r="G31" s="57"/>
      <c r="H31" s="57"/>
      <c r="I31" s="57"/>
      <c r="J31" s="57">
        <v>149.4</v>
      </c>
      <c r="K31" s="67"/>
      <c r="L31" s="67"/>
      <c r="M31" s="67"/>
      <c r="N31" s="67"/>
      <c r="O31" s="67">
        <v>786.8</v>
      </c>
      <c r="P31" s="57">
        <v>702</v>
      </c>
      <c r="Q31" s="57"/>
      <c r="R31" s="57"/>
      <c r="S31" s="57"/>
    </row>
    <row r="32" spans="1:21" s="42" customFormat="1" x14ac:dyDescent="0.2">
      <c r="B32" s="42" t="s">
        <v>41</v>
      </c>
      <c r="C32" s="57"/>
      <c r="D32" s="57"/>
      <c r="E32" s="57"/>
      <c r="F32" s="57">
        <v>417.8</v>
      </c>
      <c r="G32" s="57"/>
      <c r="H32" s="57"/>
      <c r="I32" s="57"/>
      <c r="J32" s="57">
        <v>418.1</v>
      </c>
      <c r="K32" s="67"/>
      <c r="L32" s="67"/>
      <c r="M32" s="67"/>
      <c r="N32" s="67"/>
      <c r="O32" s="67">
        <v>768.6</v>
      </c>
      <c r="P32" s="57">
        <v>807.3</v>
      </c>
      <c r="Q32" s="57"/>
      <c r="R32" s="57"/>
      <c r="S32" s="57"/>
    </row>
    <row r="33" spans="2:19" s="42" customFormat="1" x14ac:dyDescent="0.2">
      <c r="B33" s="42" t="s">
        <v>42</v>
      </c>
      <c r="C33" s="57"/>
      <c r="D33" s="57"/>
      <c r="E33" s="57"/>
      <c r="F33" s="57">
        <v>195</v>
      </c>
      <c r="G33" s="57"/>
      <c r="H33" s="57"/>
      <c r="I33" s="57"/>
      <c r="J33" s="57">
        <v>172.6</v>
      </c>
      <c r="K33" s="67"/>
      <c r="L33" s="67"/>
      <c r="M33" s="67"/>
      <c r="N33" s="67"/>
      <c r="O33" s="67">
        <v>646.70000000000005</v>
      </c>
      <c r="P33" s="57">
        <v>533.20000000000005</v>
      </c>
      <c r="Q33" s="57"/>
      <c r="R33" s="57"/>
      <c r="S33" s="57"/>
    </row>
    <row r="34" spans="2:19" s="42" customFormat="1" x14ac:dyDescent="0.2">
      <c r="B34" s="42" t="s">
        <v>43</v>
      </c>
      <c r="C34" s="57"/>
      <c r="D34" s="57"/>
      <c r="E34" s="57"/>
      <c r="F34" s="57">
        <v>26.8</v>
      </c>
      <c r="G34" s="57"/>
      <c r="H34" s="57"/>
      <c r="I34" s="57"/>
      <c r="J34" s="57">
        <v>22.8</v>
      </c>
      <c r="K34" s="67"/>
      <c r="L34" s="67"/>
      <c r="M34" s="67"/>
      <c r="N34" s="67"/>
      <c r="O34" s="67">
        <v>105.2</v>
      </c>
      <c r="P34" s="57">
        <v>103.2</v>
      </c>
      <c r="Q34" s="57"/>
      <c r="R34" s="57"/>
      <c r="S34" s="57"/>
    </row>
    <row r="35" spans="2:19" s="42" customFormat="1" x14ac:dyDescent="0.2">
      <c r="B35" s="42" t="s">
        <v>155</v>
      </c>
      <c r="C35" s="57"/>
      <c r="D35" s="57"/>
      <c r="E35" s="57"/>
      <c r="F35" s="57">
        <f>+SUM(F31:F34)</f>
        <v>824.69999999999993</v>
      </c>
      <c r="G35" s="57"/>
      <c r="H35" s="57"/>
      <c r="I35" s="57"/>
      <c r="J35" s="57">
        <f>+SUM(J31:J34)</f>
        <v>762.9</v>
      </c>
      <c r="K35" s="67"/>
      <c r="L35" s="67"/>
      <c r="M35" s="67"/>
      <c r="N35" s="67"/>
      <c r="O35" s="57">
        <f>+SUM(O31:O34)</f>
        <v>2307.3000000000002</v>
      </c>
      <c r="P35" s="57">
        <f>+SUM(P31:P34)</f>
        <v>2145.6999999999998</v>
      </c>
      <c r="Q35" s="57"/>
      <c r="R35" s="57"/>
      <c r="S35" s="57"/>
    </row>
    <row r="36" spans="2:19" s="42" customFormat="1" x14ac:dyDescent="0.2">
      <c r="B36" s="58" t="s">
        <v>156</v>
      </c>
      <c r="C36" s="57"/>
      <c r="D36" s="57"/>
      <c r="E36" s="57"/>
      <c r="F36" s="57"/>
      <c r="G36" s="57"/>
      <c r="H36" s="57"/>
      <c r="I36" s="57"/>
      <c r="J36" s="57"/>
      <c r="K36" s="67"/>
      <c r="L36" s="67"/>
      <c r="M36" s="67"/>
      <c r="N36" s="67"/>
      <c r="O36" s="67"/>
      <c r="P36" s="57"/>
      <c r="Q36" s="57"/>
      <c r="R36" s="57"/>
      <c r="S36" s="57"/>
    </row>
    <row r="37" spans="2:19" s="42" customFormat="1" x14ac:dyDescent="0.2">
      <c r="B37" s="42" t="s">
        <v>40</v>
      </c>
      <c r="C37" s="57"/>
      <c r="D37" s="57"/>
      <c r="E37" s="57"/>
      <c r="F37" s="57">
        <v>116.2</v>
      </c>
      <c r="G37" s="57"/>
      <c r="H37" s="57"/>
      <c r="I37" s="57"/>
      <c r="J37" s="57">
        <v>84.7</v>
      </c>
      <c r="K37" s="67"/>
      <c r="L37" s="67"/>
      <c r="M37" s="67"/>
      <c r="N37" s="67"/>
      <c r="O37" s="67">
        <v>566.79999999999995</v>
      </c>
      <c r="P37" s="57">
        <v>627</v>
      </c>
      <c r="Q37" s="57"/>
      <c r="R37" s="57"/>
      <c r="S37" s="57"/>
    </row>
    <row r="38" spans="2:19" s="42" customFormat="1" x14ac:dyDescent="0.2">
      <c r="B38" s="42" t="s">
        <v>41</v>
      </c>
      <c r="C38" s="57"/>
      <c r="D38" s="57"/>
      <c r="E38" s="57"/>
      <c r="F38" s="57">
        <v>171.6</v>
      </c>
      <c r="G38" s="57"/>
      <c r="H38" s="57"/>
      <c r="I38" s="57"/>
      <c r="J38" s="57">
        <v>216.3</v>
      </c>
      <c r="K38" s="67"/>
      <c r="L38" s="67"/>
      <c r="M38" s="67"/>
      <c r="N38" s="67"/>
      <c r="O38" s="67">
        <v>271</v>
      </c>
      <c r="P38" s="57">
        <v>329.4</v>
      </c>
      <c r="Q38" s="57"/>
      <c r="R38" s="57"/>
      <c r="S38" s="57"/>
    </row>
    <row r="39" spans="2:19" s="42" customFormat="1" x14ac:dyDescent="0.2">
      <c r="B39" s="42" t="s">
        <v>42</v>
      </c>
      <c r="C39" s="57"/>
      <c r="D39" s="57"/>
      <c r="E39" s="57"/>
      <c r="F39" s="57">
        <v>69.8</v>
      </c>
      <c r="G39" s="57"/>
      <c r="H39" s="57"/>
      <c r="I39" s="57"/>
      <c r="J39" s="57">
        <v>69.099999999999994</v>
      </c>
      <c r="K39" s="67"/>
      <c r="L39" s="67"/>
      <c r="M39" s="67"/>
      <c r="N39" s="67"/>
      <c r="O39" s="67">
        <v>269.39999999999998</v>
      </c>
      <c r="P39" s="57">
        <v>280.5</v>
      </c>
      <c r="Q39" s="57"/>
      <c r="R39" s="57"/>
      <c r="S39" s="57"/>
    </row>
    <row r="40" spans="2:19" s="42" customFormat="1" x14ac:dyDescent="0.2">
      <c r="B40" s="42" t="s">
        <v>43</v>
      </c>
      <c r="C40" s="57"/>
      <c r="D40" s="57"/>
      <c r="E40" s="57"/>
      <c r="F40" s="57">
        <v>24.8</v>
      </c>
      <c r="G40" s="57"/>
      <c r="H40" s="57"/>
      <c r="I40" s="57"/>
      <c r="J40" s="57">
        <v>13.6</v>
      </c>
      <c r="K40" s="67"/>
      <c r="L40" s="67"/>
      <c r="M40" s="67"/>
      <c r="N40" s="67"/>
      <c r="O40" s="67">
        <v>118.8</v>
      </c>
      <c r="P40" s="57">
        <v>161.1</v>
      </c>
      <c r="Q40" s="57"/>
      <c r="R40" s="57"/>
      <c r="S40" s="57"/>
    </row>
    <row r="41" spans="2:19" s="42" customFormat="1" x14ac:dyDescent="0.2">
      <c r="B41" s="42" t="s">
        <v>155</v>
      </c>
      <c r="C41" s="57"/>
      <c r="D41" s="57"/>
      <c r="E41" s="57"/>
      <c r="F41" s="57">
        <f>+SUM(F37:F40)</f>
        <v>382.40000000000003</v>
      </c>
      <c r="G41" s="57"/>
      <c r="H41" s="57"/>
      <c r="I41" s="57"/>
      <c r="J41" s="57">
        <f>+SUM(J37:J40)</f>
        <v>383.70000000000005</v>
      </c>
      <c r="K41" s="67"/>
      <c r="L41" s="67"/>
      <c r="M41" s="67"/>
      <c r="N41" s="67"/>
      <c r="O41" s="57">
        <f>+SUM(O37:O40)</f>
        <v>1225.9999999999998</v>
      </c>
      <c r="P41" s="57">
        <f>+SUM(P37:P40)</f>
        <v>1398</v>
      </c>
      <c r="Q41" s="57"/>
      <c r="R41" s="57"/>
      <c r="S41" s="57"/>
    </row>
    <row r="42" spans="2:19" s="8" customFormat="1" x14ac:dyDescent="0.2">
      <c r="B42" s="8" t="s">
        <v>182</v>
      </c>
      <c r="C42" s="17"/>
      <c r="D42" s="17"/>
      <c r="E42" s="17"/>
      <c r="F42" s="17">
        <f>+F29+F35+F41</f>
        <v>3020.6000000000004</v>
      </c>
      <c r="G42" s="17"/>
      <c r="H42" s="17"/>
      <c r="I42" s="17"/>
      <c r="J42" s="17">
        <f>+J29+J35+J41</f>
        <v>2481.3000000000002</v>
      </c>
      <c r="K42" s="50"/>
      <c r="L42" s="50"/>
      <c r="M42" s="50"/>
      <c r="N42" s="50"/>
      <c r="O42" s="17">
        <f>+O29+O35+O41</f>
        <v>9177.1</v>
      </c>
      <c r="P42" s="17">
        <f>+P29+P35+P41</f>
        <v>8157.5999999999995</v>
      </c>
      <c r="Q42" s="17"/>
      <c r="R42" s="17"/>
      <c r="S42" s="17"/>
    </row>
    <row r="48" spans="2:19" x14ac:dyDescent="0.2">
      <c r="C48" s="60" t="s">
        <v>143</v>
      </c>
      <c r="D48" s="17"/>
    </row>
    <row r="49" spans="3:19" x14ac:dyDescent="0.2">
      <c r="C49" s="45" t="s">
        <v>86</v>
      </c>
      <c r="D49" s="45" t="s">
        <v>114</v>
      </c>
    </row>
    <row r="50" spans="3:19" x14ac:dyDescent="0.2">
      <c r="C50" s="45" t="s">
        <v>92</v>
      </c>
      <c r="D50" s="45" t="s">
        <v>117</v>
      </c>
    </row>
    <row r="51" spans="3:19" x14ac:dyDescent="0.2">
      <c r="C51" s="45" t="s">
        <v>97</v>
      </c>
      <c r="D51" s="45" t="s">
        <v>120</v>
      </c>
    </row>
    <row r="52" spans="3:19" x14ac:dyDescent="0.2">
      <c r="C52" s="45" t="s">
        <v>98</v>
      </c>
      <c r="D52" s="45" t="s">
        <v>121</v>
      </c>
    </row>
    <row r="53" spans="3:19" x14ac:dyDescent="0.2">
      <c r="C53" s="45" t="s">
        <v>99</v>
      </c>
      <c r="D53" s="45" t="s">
        <v>121</v>
      </c>
    </row>
    <row r="54" spans="3:19" x14ac:dyDescent="0.2">
      <c r="C54" s="45" t="s">
        <v>100</v>
      </c>
      <c r="D54" s="45" t="s">
        <v>121</v>
      </c>
    </row>
    <row r="55" spans="3:19" x14ac:dyDescent="0.2">
      <c r="C55" s="45" t="s">
        <v>101</v>
      </c>
      <c r="D55" s="45" t="s">
        <v>122</v>
      </c>
    </row>
    <row r="56" spans="3:19" x14ac:dyDescent="0.2">
      <c r="C56" s="45" t="s">
        <v>82</v>
      </c>
      <c r="D56" s="45" t="s">
        <v>108</v>
      </c>
    </row>
    <row r="57" spans="3:19" x14ac:dyDescent="0.2">
      <c r="C57" s="45" t="s">
        <v>102</v>
      </c>
      <c r="D57" s="45" t="s">
        <v>123</v>
      </c>
    </row>
    <row r="58" spans="3:19" x14ac:dyDescent="0.2">
      <c r="C58" s="45" t="s">
        <v>103</v>
      </c>
      <c r="D58" s="45" t="s">
        <v>124</v>
      </c>
    </row>
    <row r="59" spans="3:19" x14ac:dyDescent="0.2">
      <c r="C59" s="45" t="s">
        <v>104</v>
      </c>
      <c r="D59" s="45" t="s">
        <v>124</v>
      </c>
      <c r="E59" s="20"/>
      <c r="F59" s="20"/>
      <c r="G59" s="20"/>
      <c r="H59" s="20"/>
      <c r="I59" s="20"/>
      <c r="J59" s="20"/>
      <c r="K59" s="68"/>
      <c r="L59" s="68"/>
      <c r="M59" s="68"/>
      <c r="N59" s="68"/>
      <c r="O59" s="68"/>
      <c r="P59" s="20"/>
      <c r="Q59" s="20"/>
      <c r="R59" s="20"/>
      <c r="S59" s="20"/>
    </row>
    <row r="60" spans="3:19" s="8" customFormat="1" x14ac:dyDescent="0.2">
      <c r="C60" s="61" t="s">
        <v>91</v>
      </c>
      <c r="D60" s="61" t="s">
        <v>117</v>
      </c>
      <c r="E60" s="17"/>
      <c r="F60" s="16"/>
      <c r="G60" s="17"/>
      <c r="H60" s="16"/>
      <c r="I60" s="17"/>
      <c r="J60" s="16"/>
      <c r="K60" s="50"/>
      <c r="L60" s="48"/>
      <c r="M60" s="50"/>
      <c r="N60" s="50"/>
      <c r="O60" s="50"/>
    </row>
    <row r="61" spans="3:19" s="8" customFormat="1" x14ac:dyDescent="0.2">
      <c r="C61" s="61" t="s">
        <v>84</v>
      </c>
      <c r="D61" s="61" t="s">
        <v>111</v>
      </c>
      <c r="E61" s="17"/>
      <c r="F61" s="16"/>
      <c r="G61" s="17"/>
      <c r="H61" s="16"/>
      <c r="I61" s="17"/>
      <c r="J61" s="16"/>
      <c r="K61" s="50"/>
      <c r="L61" s="48"/>
      <c r="M61" s="50"/>
      <c r="N61" s="50"/>
      <c r="O61" s="50"/>
      <c r="P61" s="17"/>
      <c r="Q61" s="17"/>
      <c r="R61" s="17"/>
      <c r="S61" s="17"/>
    </row>
    <row r="62" spans="3:19" s="8" customFormat="1" x14ac:dyDescent="0.2">
      <c r="C62" s="61" t="s">
        <v>88</v>
      </c>
      <c r="D62" s="61" t="s">
        <v>116</v>
      </c>
      <c r="E62" s="17"/>
      <c r="F62" s="16"/>
      <c r="G62" s="17"/>
      <c r="H62" s="16"/>
      <c r="I62" s="17"/>
      <c r="J62" s="16"/>
      <c r="K62" s="50"/>
      <c r="L62" s="48"/>
      <c r="M62" s="50"/>
      <c r="N62" s="50"/>
      <c r="O62" s="50"/>
      <c r="P62" s="17"/>
      <c r="Q62" s="17"/>
      <c r="R62" s="17"/>
      <c r="S62" s="17"/>
    </row>
    <row r="63" spans="3:19" x14ac:dyDescent="0.2">
      <c r="C63" s="61" t="s">
        <v>89</v>
      </c>
      <c r="D63" s="61" t="s">
        <v>117</v>
      </c>
      <c r="E63" s="20"/>
      <c r="F63" s="20"/>
      <c r="G63" s="20"/>
      <c r="H63" s="20"/>
      <c r="I63" s="20"/>
      <c r="J63" s="20"/>
      <c r="K63" s="68"/>
      <c r="L63" s="68"/>
      <c r="M63" s="68"/>
      <c r="N63" s="68"/>
      <c r="O63" s="68"/>
      <c r="P63" s="19"/>
      <c r="Q63" s="19"/>
      <c r="R63" s="19"/>
      <c r="S63" s="19"/>
    </row>
    <row r="64" spans="3:19" x14ac:dyDescent="0.2">
      <c r="C64" s="61" t="s">
        <v>90</v>
      </c>
      <c r="D64" s="61" t="s">
        <v>117</v>
      </c>
      <c r="E64" s="20"/>
      <c r="F64" s="20"/>
      <c r="G64" s="20"/>
      <c r="H64" s="20"/>
      <c r="I64" s="20"/>
      <c r="J64" s="20"/>
      <c r="K64" s="68"/>
      <c r="L64" s="68"/>
      <c r="M64" s="68"/>
      <c r="N64" s="68"/>
      <c r="O64" s="68"/>
      <c r="P64" s="19"/>
      <c r="Q64" s="19"/>
      <c r="R64" s="19"/>
      <c r="S64" s="19"/>
    </row>
    <row r="65" spans="2:21" x14ac:dyDescent="0.2">
      <c r="C65" s="61" t="s">
        <v>93</v>
      </c>
      <c r="D65" s="61" t="s">
        <v>117</v>
      </c>
      <c r="E65" s="20"/>
      <c r="F65" s="20"/>
      <c r="G65" s="20"/>
      <c r="H65" s="20"/>
      <c r="I65" s="20"/>
      <c r="J65" s="20"/>
      <c r="K65" s="68"/>
      <c r="L65" s="68"/>
      <c r="M65" s="68"/>
      <c r="N65" s="68"/>
      <c r="O65" s="68"/>
      <c r="P65" s="19"/>
      <c r="Q65" s="19"/>
      <c r="R65" s="19"/>
      <c r="S65" s="19"/>
    </row>
    <row r="66" spans="2:21" x14ac:dyDescent="0.2">
      <c r="C66" s="61" t="s">
        <v>94</v>
      </c>
      <c r="D66" s="61" t="s">
        <v>118</v>
      </c>
      <c r="E66" s="20"/>
      <c r="F66" s="20"/>
      <c r="G66" s="20"/>
      <c r="H66" s="20"/>
      <c r="I66" s="20"/>
      <c r="J66" s="20"/>
      <c r="K66" s="68"/>
      <c r="L66" s="68"/>
      <c r="M66" s="68"/>
      <c r="N66" s="68"/>
      <c r="O66" s="68"/>
      <c r="P66" s="20"/>
      <c r="Q66" s="20"/>
      <c r="R66" s="20"/>
      <c r="S66" s="20"/>
    </row>
    <row r="67" spans="2:21" x14ac:dyDescent="0.2">
      <c r="C67" s="61" t="s">
        <v>95</v>
      </c>
      <c r="D67" s="61" t="s">
        <v>119</v>
      </c>
      <c r="E67" s="20"/>
      <c r="F67" s="20"/>
      <c r="G67" s="20"/>
      <c r="H67" s="20"/>
      <c r="I67" s="20"/>
      <c r="J67" s="20"/>
      <c r="K67" s="68"/>
      <c r="L67" s="68"/>
      <c r="M67" s="68"/>
      <c r="N67" s="68"/>
      <c r="O67" s="68"/>
      <c r="P67" s="20"/>
      <c r="Q67" s="20"/>
      <c r="R67" s="20"/>
      <c r="S67" s="20"/>
    </row>
    <row r="68" spans="2:21" x14ac:dyDescent="0.2">
      <c r="C68" s="61" t="s">
        <v>147</v>
      </c>
      <c r="D68" s="62" t="s">
        <v>152</v>
      </c>
      <c r="E68" s="20"/>
      <c r="F68" s="20"/>
      <c r="G68" s="20"/>
      <c r="H68" s="20"/>
      <c r="I68" s="20"/>
      <c r="J68" s="20"/>
      <c r="K68" s="68"/>
      <c r="L68" s="68"/>
      <c r="M68" s="68"/>
      <c r="N68" s="68"/>
      <c r="O68" s="68"/>
      <c r="P68" s="20"/>
      <c r="Q68" s="20"/>
      <c r="R68" s="20"/>
      <c r="S68" s="20"/>
    </row>
    <row r="69" spans="2:21" x14ac:dyDescent="0.2">
      <c r="C69" s="61" t="s">
        <v>148</v>
      </c>
      <c r="D69" s="62" t="s">
        <v>153</v>
      </c>
      <c r="E69" s="20"/>
      <c r="F69" s="20"/>
      <c r="G69" s="20"/>
      <c r="H69" s="20"/>
      <c r="I69" s="20"/>
      <c r="J69" s="20"/>
      <c r="K69" s="68"/>
      <c r="L69" s="68"/>
      <c r="M69" s="68"/>
      <c r="N69" s="68"/>
      <c r="O69" s="68"/>
      <c r="P69" s="19"/>
      <c r="Q69" s="19"/>
      <c r="R69" s="19"/>
      <c r="S69" s="19"/>
    </row>
    <row r="70" spans="2:21" x14ac:dyDescent="0.2">
      <c r="C70" s="61" t="s">
        <v>134</v>
      </c>
      <c r="D70" s="61" t="s">
        <v>138</v>
      </c>
      <c r="E70" s="20"/>
      <c r="F70" s="20"/>
      <c r="G70" s="20"/>
      <c r="H70" s="20"/>
      <c r="I70" s="20"/>
      <c r="J70" s="20"/>
      <c r="K70" s="68"/>
      <c r="L70" s="68"/>
      <c r="M70" s="68"/>
      <c r="N70" s="68"/>
      <c r="O70" s="68"/>
      <c r="P70" s="19"/>
      <c r="Q70" s="19"/>
      <c r="R70" s="19"/>
      <c r="S70" s="19"/>
    </row>
    <row r="71" spans="2:21" x14ac:dyDescent="0.2">
      <c r="C71" s="61" t="s">
        <v>133</v>
      </c>
      <c r="D71" s="61" t="s">
        <v>137</v>
      </c>
      <c r="E71" s="20"/>
      <c r="F71" s="20"/>
      <c r="G71" s="20"/>
      <c r="H71" s="20"/>
      <c r="I71" s="20"/>
      <c r="J71" s="20"/>
      <c r="K71" s="68"/>
      <c r="L71" s="68"/>
      <c r="M71" s="68"/>
      <c r="N71" s="68"/>
      <c r="O71" s="68"/>
      <c r="P71" s="20"/>
      <c r="Q71" s="20"/>
      <c r="R71" s="20"/>
      <c r="S71" s="20"/>
    </row>
    <row r="72" spans="2:21" x14ac:dyDescent="0.2">
      <c r="C72" s="61" t="s">
        <v>131</v>
      </c>
      <c r="D72" s="61" t="s">
        <v>119</v>
      </c>
      <c r="E72" s="20"/>
      <c r="F72" s="20"/>
      <c r="G72" s="20"/>
      <c r="H72" s="20"/>
      <c r="I72" s="20"/>
      <c r="J72" s="20"/>
      <c r="K72" s="68"/>
      <c r="L72" s="68"/>
      <c r="M72" s="68"/>
      <c r="N72" s="68"/>
      <c r="O72" s="68"/>
      <c r="P72" s="20"/>
      <c r="Q72" s="20"/>
      <c r="R72" s="20"/>
      <c r="S72" s="20"/>
    </row>
    <row r="73" spans="2:21" x14ac:dyDescent="0.2">
      <c r="C73" s="61" t="s">
        <v>132</v>
      </c>
      <c r="D73" s="61" t="s">
        <v>136</v>
      </c>
      <c r="E73" s="20"/>
      <c r="F73" s="20"/>
      <c r="G73" s="20"/>
      <c r="H73" s="20"/>
      <c r="I73" s="20"/>
      <c r="J73" s="20"/>
      <c r="K73" s="68"/>
      <c r="L73" s="68"/>
      <c r="M73" s="68"/>
      <c r="N73" s="68"/>
      <c r="O73" s="68"/>
      <c r="P73" s="20"/>
      <c r="Q73" s="20"/>
      <c r="R73" s="20"/>
      <c r="S73" s="20"/>
    </row>
    <row r="74" spans="2:21" x14ac:dyDescent="0.2">
      <c r="C74" s="61" t="s">
        <v>96</v>
      </c>
      <c r="D74" s="61" t="s">
        <v>118</v>
      </c>
    </row>
    <row r="75" spans="2:21" x14ac:dyDescent="0.2">
      <c r="C75" s="61" t="s">
        <v>87</v>
      </c>
      <c r="D75" s="61" t="s">
        <v>115</v>
      </c>
    </row>
    <row r="76" spans="2:21" x14ac:dyDescent="0.2">
      <c r="B76" s="8"/>
    </row>
    <row r="78" spans="2:21" x14ac:dyDescent="0.2">
      <c r="B78" s="37"/>
      <c r="P78" s="2"/>
      <c r="Q78" s="2"/>
      <c r="R78" s="2"/>
      <c r="S78" s="2"/>
      <c r="T78" s="15"/>
      <c r="U78" s="16"/>
    </row>
    <row r="79" spans="2:21" x14ac:dyDescent="0.2">
      <c r="B79" s="37"/>
      <c r="P79" s="2"/>
      <c r="Q79" s="2"/>
      <c r="R79" s="2"/>
      <c r="S79" s="2"/>
      <c r="T79" s="15"/>
      <c r="U79" s="16"/>
    </row>
    <row r="80" spans="2:21" x14ac:dyDescent="0.2">
      <c r="B80" s="37"/>
      <c r="P80" s="2"/>
      <c r="Q80" s="2"/>
      <c r="R80" s="2"/>
      <c r="S80" s="2"/>
      <c r="T80" s="15"/>
      <c r="U80" s="16"/>
    </row>
    <row r="81" spans="2:22" x14ac:dyDescent="0.2">
      <c r="B81" s="37"/>
      <c r="P81" s="2"/>
      <c r="Q81" s="2"/>
      <c r="R81" s="2"/>
      <c r="S81" s="2"/>
      <c r="T81" s="15"/>
      <c r="U81" s="16"/>
    </row>
    <row r="82" spans="2:22" x14ac:dyDescent="0.2">
      <c r="P82" s="2"/>
      <c r="Q82" s="2"/>
      <c r="R82" s="2"/>
      <c r="S82" s="2"/>
      <c r="T82" s="15"/>
      <c r="U82" s="16"/>
    </row>
    <row r="83" spans="2:22" x14ac:dyDescent="0.2">
      <c r="P83" s="2"/>
      <c r="Q83" s="2"/>
      <c r="R83" s="2"/>
      <c r="S83" s="2"/>
      <c r="T83" s="15"/>
      <c r="U83" s="16"/>
    </row>
    <row r="84" spans="2:22" x14ac:dyDescent="0.2">
      <c r="P84" s="2"/>
      <c r="Q84" s="2"/>
      <c r="R84" s="2"/>
      <c r="S84" s="2"/>
      <c r="T84" s="15"/>
      <c r="U84" s="16"/>
    </row>
    <row r="85" spans="2:22" x14ac:dyDescent="0.2">
      <c r="P85" s="2"/>
      <c r="Q85" s="2"/>
      <c r="R85" s="2"/>
      <c r="S85" s="2"/>
      <c r="T85" s="15"/>
      <c r="U85" s="16"/>
      <c r="V85" s="26"/>
    </row>
    <row r="87" spans="2:22" x14ac:dyDescent="0.2">
      <c r="E87" s="59"/>
      <c r="F87" s="59"/>
    </row>
    <row r="88" spans="2:22" x14ac:dyDescent="0.2">
      <c r="E88" s="59"/>
      <c r="F88" s="59"/>
    </row>
    <row r="89" spans="2:22" x14ac:dyDescent="0.2">
      <c r="E89" s="59"/>
      <c r="F89" s="59"/>
    </row>
    <row r="90" spans="2:22" x14ac:dyDescent="0.2">
      <c r="P90" s="15"/>
      <c r="Q90" s="15"/>
      <c r="R90" s="15"/>
      <c r="S90" s="15"/>
    </row>
    <row r="91" spans="2:22" x14ac:dyDescent="0.2">
      <c r="P91" s="15"/>
      <c r="Q91" s="15"/>
      <c r="R91" s="15"/>
      <c r="S91" s="15"/>
    </row>
    <row r="92" spans="2:22" x14ac:dyDescent="0.2">
      <c r="P92" s="15"/>
      <c r="Q92" s="15"/>
      <c r="R92" s="15"/>
      <c r="S92" s="15"/>
    </row>
    <row r="93" spans="2:22" x14ac:dyDescent="0.2">
      <c r="P93" s="15"/>
      <c r="Q93" s="15"/>
      <c r="R93" s="15"/>
      <c r="S93" s="15"/>
    </row>
    <row r="95" spans="2:22" x14ac:dyDescent="0.2">
      <c r="P95" s="2"/>
      <c r="Q95" s="2"/>
      <c r="R95" s="2"/>
      <c r="S95" s="2"/>
      <c r="T95" s="15"/>
      <c r="U95" s="16"/>
    </row>
    <row r="96" spans="2:22" x14ac:dyDescent="0.2">
      <c r="P96" s="2"/>
      <c r="Q96" s="2"/>
      <c r="R96" s="2"/>
      <c r="S96" s="2"/>
      <c r="T96" s="15"/>
      <c r="U96" s="16"/>
    </row>
    <row r="97" spans="3:22" x14ac:dyDescent="0.2">
      <c r="C97" s="45"/>
      <c r="D97" s="45"/>
      <c r="G97" s="20"/>
      <c r="I97" s="20"/>
      <c r="K97" s="68"/>
      <c r="M97" s="68"/>
      <c r="N97" s="68"/>
      <c r="O97" s="68"/>
      <c r="P97" s="18"/>
      <c r="Q97" s="18"/>
      <c r="R97" s="18"/>
      <c r="S97" s="18"/>
      <c r="T97" s="15"/>
      <c r="U97" s="20"/>
      <c r="V97" s="15"/>
    </row>
    <row r="98" spans="3:22" x14ac:dyDescent="0.2">
      <c r="P98" s="2"/>
      <c r="Q98" s="2"/>
      <c r="R98" s="2"/>
      <c r="S98" s="2"/>
      <c r="T98" s="15"/>
      <c r="U98" s="16"/>
      <c r="V98" s="15"/>
    </row>
    <row r="99" spans="3:22" s="8" customFormat="1" x14ac:dyDescent="0.2">
      <c r="C99" s="17"/>
      <c r="D99" s="17"/>
      <c r="E99" s="17"/>
      <c r="F99" s="17"/>
      <c r="G99" s="17"/>
      <c r="H99" s="17"/>
      <c r="I99" s="17"/>
      <c r="J99" s="17"/>
      <c r="K99" s="50"/>
      <c r="L99" s="50"/>
      <c r="M99" s="50"/>
      <c r="N99" s="50"/>
      <c r="O99" s="50"/>
      <c r="T99" s="26"/>
      <c r="V99" s="15"/>
    </row>
    <row r="100" spans="3:22" x14ac:dyDescent="0.2">
      <c r="C100" s="45"/>
      <c r="D100" s="45"/>
      <c r="G100" s="20"/>
      <c r="I100" s="20"/>
      <c r="K100" s="68"/>
      <c r="M100" s="68"/>
      <c r="N100" s="68"/>
      <c r="O100" s="68"/>
      <c r="P100" s="18"/>
      <c r="Q100" s="18"/>
      <c r="R100" s="18"/>
      <c r="S100" s="18"/>
      <c r="T100" s="15"/>
      <c r="U100" s="20"/>
      <c r="V100" s="15"/>
    </row>
    <row r="101" spans="3:22" x14ac:dyDescent="0.2">
      <c r="P101" s="2"/>
      <c r="Q101" s="2"/>
      <c r="R101" s="2"/>
      <c r="S101" s="2"/>
      <c r="T101" s="15"/>
      <c r="U101" s="16"/>
      <c r="V101" s="15"/>
    </row>
    <row r="102" spans="3:22" x14ac:dyDescent="0.2">
      <c r="P102" s="2"/>
      <c r="Q102" s="2"/>
      <c r="R102" s="2"/>
      <c r="S102" s="2"/>
      <c r="T102" s="15"/>
      <c r="U102" s="16"/>
      <c r="V102" s="15"/>
    </row>
    <row r="103" spans="3:22" x14ac:dyDescent="0.2">
      <c r="P103" s="2"/>
      <c r="Q103" s="2"/>
      <c r="R103" s="2"/>
      <c r="S103" s="2"/>
      <c r="T103" s="15"/>
      <c r="V103" s="15"/>
    </row>
    <row r="113" spans="2:19" x14ac:dyDescent="0.2">
      <c r="P113" s="15"/>
      <c r="Q113" s="15"/>
      <c r="R113" s="15"/>
      <c r="S113" s="15"/>
    </row>
    <row r="114" spans="2:19" x14ac:dyDescent="0.2">
      <c r="P114" s="15"/>
      <c r="Q114" s="15"/>
      <c r="R114" s="15"/>
      <c r="S114" s="15"/>
    </row>
    <row r="115" spans="2:19" x14ac:dyDescent="0.2">
      <c r="P115" s="15"/>
      <c r="Q115" s="15"/>
      <c r="R115" s="15"/>
      <c r="S115" s="15"/>
    </row>
    <row r="116" spans="2:19" x14ac:dyDescent="0.2">
      <c r="P116" s="15"/>
      <c r="Q116" s="15"/>
      <c r="R116" s="15"/>
      <c r="S116" s="15"/>
    </row>
    <row r="117" spans="2:19" x14ac:dyDescent="0.2">
      <c r="P117" s="15"/>
      <c r="Q117" s="15"/>
      <c r="R117" s="15"/>
      <c r="S117" s="15"/>
    </row>
    <row r="118" spans="2:19" x14ac:dyDescent="0.2">
      <c r="C118" s="45"/>
      <c r="D118" s="45"/>
      <c r="E118" s="20"/>
      <c r="F118" s="20"/>
      <c r="G118" s="20"/>
      <c r="H118" s="20"/>
      <c r="I118" s="20"/>
      <c r="J118" s="20"/>
      <c r="K118" s="68"/>
      <c r="L118" s="68"/>
      <c r="M118" s="68"/>
      <c r="N118" s="68"/>
      <c r="O118" s="68"/>
      <c r="P118" s="19"/>
      <c r="Q118" s="19"/>
      <c r="R118" s="19"/>
      <c r="S118" s="19"/>
    </row>
    <row r="119" spans="2:19" x14ac:dyDescent="0.2">
      <c r="C119" s="45"/>
      <c r="D119" s="45"/>
      <c r="E119" s="20"/>
      <c r="F119" s="20"/>
      <c r="G119" s="20"/>
      <c r="H119" s="20"/>
      <c r="I119" s="20"/>
      <c r="J119" s="20"/>
      <c r="K119" s="68"/>
      <c r="L119" s="68"/>
      <c r="M119" s="68"/>
      <c r="N119" s="68"/>
      <c r="O119" s="68"/>
      <c r="P119" s="20"/>
      <c r="Q119" s="20"/>
      <c r="R119" s="20"/>
      <c r="S119" s="20"/>
    </row>
    <row r="120" spans="2:19" x14ac:dyDescent="0.2">
      <c r="C120" s="45"/>
      <c r="D120" s="45"/>
      <c r="E120" s="20"/>
      <c r="F120" s="20"/>
      <c r="G120" s="20"/>
      <c r="H120" s="20"/>
      <c r="I120" s="20"/>
      <c r="J120" s="20"/>
      <c r="K120" s="68"/>
      <c r="L120" s="68"/>
      <c r="M120" s="68"/>
      <c r="N120" s="68"/>
      <c r="O120" s="68"/>
      <c r="P120" s="20"/>
      <c r="Q120" s="20"/>
      <c r="R120" s="20"/>
      <c r="S120" s="20"/>
    </row>
    <row r="121" spans="2:19" x14ac:dyDescent="0.2">
      <c r="C121" s="45"/>
      <c r="D121" s="45"/>
      <c r="E121" s="20"/>
      <c r="F121" s="20"/>
      <c r="G121" s="20"/>
      <c r="H121" s="20"/>
      <c r="I121" s="20"/>
      <c r="J121" s="20"/>
      <c r="K121" s="68"/>
      <c r="L121" s="68"/>
      <c r="M121" s="68"/>
      <c r="N121" s="68"/>
      <c r="O121" s="68"/>
      <c r="P121" s="20"/>
      <c r="Q121" s="20"/>
      <c r="R121" s="20"/>
      <c r="S121" s="20"/>
    </row>
    <row r="122" spans="2:19" x14ac:dyDescent="0.2">
      <c r="B122" s="22"/>
      <c r="C122" s="20"/>
      <c r="D122" s="20"/>
      <c r="E122" s="47"/>
      <c r="F122" s="46"/>
      <c r="G122" s="47"/>
      <c r="H122" s="46"/>
      <c r="I122" s="47"/>
      <c r="J122" s="46"/>
      <c r="K122" s="66"/>
      <c r="L122" s="68"/>
      <c r="M122" s="68"/>
      <c r="N122" s="68"/>
      <c r="O122" s="68"/>
      <c r="P122" s="20"/>
      <c r="Q122" s="20"/>
      <c r="R122" s="20"/>
      <c r="S122" s="20"/>
    </row>
    <row r="123" spans="2:19" x14ac:dyDescent="0.2">
      <c r="C123" s="45"/>
      <c r="D123" s="45"/>
      <c r="E123" s="20"/>
      <c r="F123" s="20"/>
      <c r="G123" s="20"/>
      <c r="H123" s="20"/>
      <c r="I123" s="20"/>
      <c r="J123" s="20"/>
      <c r="K123" s="68"/>
      <c r="L123" s="68"/>
      <c r="M123" s="68"/>
      <c r="N123" s="68"/>
      <c r="O123" s="68"/>
      <c r="P123" s="19"/>
      <c r="Q123" s="19"/>
      <c r="R123" s="19"/>
      <c r="S123" s="19"/>
    </row>
    <row r="124" spans="2:19" x14ac:dyDescent="0.2">
      <c r="C124" s="45"/>
      <c r="D124" s="45"/>
      <c r="E124" s="20"/>
      <c r="F124" s="20"/>
      <c r="G124" s="20"/>
      <c r="H124" s="20"/>
      <c r="I124" s="20"/>
      <c r="J124" s="20"/>
      <c r="K124" s="68"/>
      <c r="L124" s="68"/>
      <c r="M124" s="68"/>
      <c r="N124" s="68"/>
      <c r="O124" s="68"/>
      <c r="P124" s="20"/>
      <c r="Q124" s="20"/>
      <c r="R124" s="20"/>
      <c r="S124" s="20"/>
    </row>
    <row r="125" spans="2:19" x14ac:dyDescent="0.2">
      <c r="B125" s="22"/>
      <c r="C125" s="45"/>
      <c r="D125" s="45"/>
      <c r="E125" s="47"/>
      <c r="F125" s="46"/>
      <c r="G125" s="47"/>
      <c r="H125" s="46"/>
      <c r="I125" s="47"/>
      <c r="J125" s="20"/>
      <c r="K125" s="68"/>
      <c r="L125" s="68"/>
      <c r="M125" s="68"/>
      <c r="N125" s="68"/>
      <c r="O125" s="68"/>
      <c r="P125" s="20"/>
      <c r="Q125" s="20"/>
      <c r="R125" s="20"/>
      <c r="S125" s="20"/>
    </row>
    <row r="126" spans="2:19" x14ac:dyDescent="0.2">
      <c r="B126" s="37"/>
      <c r="C126" s="45"/>
      <c r="D126" s="45"/>
      <c r="E126" s="20"/>
      <c r="F126" s="20"/>
      <c r="G126" s="20"/>
      <c r="H126" s="20"/>
      <c r="I126" s="20"/>
      <c r="J126" s="20"/>
      <c r="K126" s="68"/>
      <c r="L126" s="68"/>
      <c r="M126" s="68"/>
      <c r="N126" s="68"/>
      <c r="O126" s="68"/>
      <c r="P126" s="20"/>
      <c r="Q126" s="20"/>
      <c r="R126" s="20"/>
      <c r="S126" s="20"/>
    </row>
    <row r="127" spans="2:19" x14ac:dyDescent="0.2">
      <c r="B127" s="37"/>
      <c r="C127" s="45"/>
      <c r="D127" s="45"/>
      <c r="E127" s="20"/>
      <c r="F127" s="20"/>
      <c r="G127" s="20"/>
      <c r="H127" s="20"/>
      <c r="I127" s="20"/>
      <c r="J127" s="20"/>
      <c r="K127" s="68"/>
      <c r="L127" s="68"/>
      <c r="M127" s="68"/>
      <c r="N127" s="68"/>
      <c r="O127" s="68"/>
      <c r="P127" s="20"/>
      <c r="Q127" s="20"/>
      <c r="R127" s="20"/>
      <c r="S127" s="20"/>
    </row>
    <row r="128" spans="2:19" x14ac:dyDescent="0.2">
      <c r="B128" s="37"/>
      <c r="C128" s="45"/>
      <c r="D128" s="45"/>
      <c r="E128" s="20"/>
      <c r="F128" s="20"/>
      <c r="G128" s="20"/>
      <c r="H128" s="20"/>
      <c r="I128" s="20"/>
      <c r="J128" s="20"/>
      <c r="K128" s="68"/>
      <c r="L128" s="68"/>
      <c r="M128" s="68"/>
      <c r="N128" s="68"/>
      <c r="O128" s="68"/>
      <c r="P128" s="20"/>
      <c r="Q128" s="20"/>
      <c r="R128" s="20"/>
      <c r="S128" s="20"/>
    </row>
    <row r="129" spans="3:15" x14ac:dyDescent="0.2">
      <c r="F129" s="17"/>
      <c r="H129" s="17"/>
      <c r="L129" s="50"/>
    </row>
    <row r="130" spans="3:15" s="8" customFormat="1" x14ac:dyDescent="0.2">
      <c r="C130" s="17"/>
      <c r="D130" s="17"/>
      <c r="E130" s="17"/>
      <c r="F130" s="17"/>
      <c r="G130" s="17"/>
      <c r="H130" s="17"/>
      <c r="I130" s="17"/>
      <c r="J130" s="17"/>
      <c r="K130" s="50"/>
      <c r="L130" s="50"/>
      <c r="M130" s="50"/>
      <c r="N130" s="50"/>
      <c r="O130" s="50"/>
    </row>
  </sheetData>
  <hyperlinks>
    <hyperlink ref="U7" r:id="rId1" xr:uid="{1531B2A3-E3A0-4C4C-BC36-C440D44A48A2}"/>
    <hyperlink ref="U6" r:id="rId2" xr:uid="{8DBF3F14-4C8F-4D5C-9979-C13DC26305E5}"/>
    <hyperlink ref="U8" r:id="rId3" xr:uid="{BF00E726-F1DB-4F13-8C8F-8BD794F8D0ED}"/>
    <hyperlink ref="U9" r:id="rId4" xr:uid="{E066BF0F-7FA9-498A-AF26-E4D811712814}"/>
    <hyperlink ref="U10" r:id="rId5" xr:uid="{750951AB-C838-4E35-8153-F53F036AF27B}"/>
    <hyperlink ref="U13" r:id="rId6" xr:uid="{110FF1F0-8C46-492A-ABC5-3AA325532DDD}"/>
    <hyperlink ref="U14" r:id="rId7" xr:uid="{C7113576-9E53-412F-9796-58942B70E9C8}"/>
    <hyperlink ref="U12" r:id="rId8" xr:uid="{8793C9BB-F277-4817-98D4-4195A5AB595A}"/>
    <hyperlink ref="U15" r:id="rId9" xr:uid="{5028EF7B-C69E-4BCE-BC78-C79C60D04BF0}"/>
    <hyperlink ref="U16" r:id="rId10" xr:uid="{CAD16CDF-52A5-4CEA-B1BB-5EB503F55FB6}"/>
    <hyperlink ref="U17" r:id="rId11" xr:uid="{53A0BC17-074A-4F70-AA59-6577B748DEC7}"/>
    <hyperlink ref="U19" r:id="rId12" xr:uid="{6762FDE3-4971-48AD-B034-A4386107F24D}"/>
    <hyperlink ref="U20" r:id="rId13" xr:uid="{39D6CD8B-4BEA-4DBB-BAEF-0DF6DD5CD18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4D40-7E89-442E-8C9B-F61890FE754F}">
  <dimension ref="B1:W36"/>
  <sheetViews>
    <sheetView workbookViewId="0">
      <selection activeCell="U19" sqref="U19"/>
    </sheetView>
  </sheetViews>
  <sheetFormatPr defaultRowHeight="12.75" x14ac:dyDescent="0.2"/>
  <cols>
    <col min="1" max="1" width="3" customWidth="1"/>
    <col min="2" max="2" width="28" customWidth="1"/>
    <col min="3" max="3" width="9.5703125" style="2" bestFit="1" customWidth="1"/>
    <col min="4" max="4" width="9.5703125" style="6" customWidth="1"/>
    <col min="5" max="5" width="9.140625" style="2"/>
    <col min="6" max="6" width="9.140625" style="6"/>
    <col min="7" max="7" width="9.140625" style="2"/>
    <col min="9" max="9" width="9.140625" style="2"/>
    <col min="11" max="11" width="9.140625" style="2"/>
    <col min="13" max="13" width="9.140625" style="2"/>
    <col min="14" max="14" width="9.140625" style="30"/>
    <col min="15" max="15" width="9.140625" style="2"/>
    <col min="16" max="16" width="9.140625" style="40"/>
    <col min="17" max="17" width="9.140625" style="2"/>
    <col min="19" max="19" width="9.140625" style="2"/>
    <col min="21" max="21" width="9.140625" style="2"/>
    <col min="23" max="23" width="9.140625" style="2"/>
  </cols>
  <sheetData>
    <row r="1" spans="2:23" x14ac:dyDescent="0.2">
      <c r="C1" s="25"/>
      <c r="E1"/>
      <c r="G1"/>
      <c r="I1"/>
      <c r="K1"/>
      <c r="M1"/>
      <c r="O1"/>
      <c r="Q1"/>
      <c r="S1"/>
      <c r="U1"/>
      <c r="W1"/>
    </row>
    <row r="2" spans="2:23" ht="34.5" x14ac:dyDescent="0.45">
      <c r="B2" s="1" t="s">
        <v>0</v>
      </c>
      <c r="C2" s="25"/>
      <c r="E2"/>
      <c r="G2"/>
      <c r="I2"/>
      <c r="K2"/>
      <c r="M2"/>
      <c r="O2"/>
      <c r="Q2"/>
      <c r="S2"/>
      <c r="U2"/>
      <c r="W2"/>
    </row>
    <row r="3" spans="2:23" s="24" customFormat="1" x14ac:dyDescent="0.2">
      <c r="C3" s="24">
        <v>2014</v>
      </c>
      <c r="D3" s="24" t="s">
        <v>128</v>
      </c>
      <c r="E3" s="24">
        <f>+C3+1</f>
        <v>2015</v>
      </c>
      <c r="F3" s="12" t="s">
        <v>128</v>
      </c>
      <c r="G3" s="24">
        <f>+E3+1</f>
        <v>2016</v>
      </c>
      <c r="H3" s="24" t="s">
        <v>128</v>
      </c>
      <c r="I3" s="24">
        <f>+G3+1</f>
        <v>2017</v>
      </c>
      <c r="J3" s="24" t="s">
        <v>128</v>
      </c>
      <c r="K3" s="24">
        <f>+I3+1</f>
        <v>2018</v>
      </c>
      <c r="L3" s="24" t="s">
        <v>128</v>
      </c>
      <c r="M3" s="24">
        <f>+K3+1</f>
        <v>2019</v>
      </c>
      <c r="N3" s="29" t="s">
        <v>128</v>
      </c>
      <c r="O3" s="24">
        <f>+M3+1</f>
        <v>2020</v>
      </c>
      <c r="P3" s="41" t="s">
        <v>128</v>
      </c>
      <c r="Q3" s="24">
        <f>+O3+1</f>
        <v>2021</v>
      </c>
      <c r="R3" s="24" t="s">
        <v>128</v>
      </c>
      <c r="S3" s="24">
        <f>+Q3+1</f>
        <v>2022</v>
      </c>
      <c r="T3" s="24" t="s">
        <v>128</v>
      </c>
      <c r="U3" s="24">
        <f>+S3+1</f>
        <v>2023</v>
      </c>
      <c r="V3" s="24" t="s">
        <v>128</v>
      </c>
      <c r="W3" s="24">
        <f>+U3+1</f>
        <v>2024</v>
      </c>
    </row>
    <row r="4" spans="2:23" s="2" customFormat="1" x14ac:dyDescent="0.2">
      <c r="F4" s="6"/>
      <c r="N4" s="30"/>
      <c r="P4" s="40"/>
    </row>
    <row r="5" spans="2:23" x14ac:dyDescent="0.2">
      <c r="B5" s="28" t="s">
        <v>154</v>
      </c>
      <c r="C5" s="37"/>
      <c r="D5" s="38"/>
      <c r="E5" s="37"/>
      <c r="F5" s="38"/>
      <c r="G5" s="37"/>
      <c r="H5" s="38"/>
      <c r="I5" s="37"/>
      <c r="J5" s="14"/>
      <c r="K5" s="37"/>
      <c r="L5" s="14"/>
      <c r="M5" s="37"/>
      <c r="N5" s="38"/>
      <c r="O5" s="37"/>
    </row>
    <row r="6" spans="2:23" x14ac:dyDescent="0.2">
      <c r="B6" s="34" t="s">
        <v>157</v>
      </c>
    </row>
    <row r="7" spans="2:23" x14ac:dyDescent="0.2">
      <c r="B7" s="35" t="s">
        <v>140</v>
      </c>
      <c r="H7" s="6"/>
      <c r="J7" s="6"/>
      <c r="M7" s="2">
        <v>2246.7060000000001</v>
      </c>
      <c r="N7" s="30">
        <f>+O7/M7-1</f>
        <v>0.13961684350333337</v>
      </c>
      <c r="O7" s="2">
        <f>2289.353+271.031</f>
        <v>2560.384</v>
      </c>
      <c r="P7" s="40">
        <f t="shared" ref="P7:P11" si="0">+Q7/O7-1</f>
        <v>-0.19620650652402138</v>
      </c>
      <c r="Q7" s="2">
        <f>1861.09+196.93</f>
        <v>2058.02</v>
      </c>
      <c r="R7" s="39">
        <f t="shared" ref="R7:R23" si="1">+S7/Q7-1</f>
        <v>0.33571831177539591</v>
      </c>
      <c r="S7" s="2">
        <f>2472.262+276.673</f>
        <v>2748.9350000000004</v>
      </c>
      <c r="T7" s="39">
        <f t="shared" ref="T7:T24" si="2">+U7/S7-1</f>
        <v>6.2732658284026188E-2</v>
      </c>
      <c r="U7" s="2">
        <v>2921.3829999999998</v>
      </c>
    </row>
    <row r="8" spans="2:23" x14ac:dyDescent="0.2">
      <c r="B8" s="35" t="s">
        <v>141</v>
      </c>
      <c r="H8" s="6"/>
      <c r="J8" s="6"/>
      <c r="M8" s="2">
        <v>2499.393</v>
      </c>
      <c r="N8" s="30">
        <f>+O8/M8-1</f>
        <v>0.19189739268694428</v>
      </c>
      <c r="O8" s="2">
        <f>2626.186+352.834</f>
        <v>2979.02</v>
      </c>
      <c r="P8" s="40">
        <f t="shared" si="0"/>
        <v>-0.20870118361071754</v>
      </c>
      <c r="Q8" s="2">
        <f>2153.605+203.69</f>
        <v>2357.2950000000001</v>
      </c>
      <c r="R8" s="39">
        <f t="shared" si="1"/>
        <v>0.33876752803531152</v>
      </c>
      <c r="S8" s="2">
        <f>2869.124+286.746</f>
        <v>3155.87</v>
      </c>
      <c r="T8" s="39">
        <f t="shared" si="2"/>
        <v>-7.706401087497261E-2</v>
      </c>
      <c r="U8" s="2">
        <v>2912.6660000000002</v>
      </c>
    </row>
    <row r="9" spans="2:23" x14ac:dyDescent="0.2">
      <c r="B9" s="35" t="s">
        <v>142</v>
      </c>
      <c r="H9" s="6"/>
      <c r="J9" s="6"/>
      <c r="M9" s="2">
        <v>1492.548</v>
      </c>
      <c r="N9" s="30">
        <f>+O9/M9-1</f>
        <v>-0.55728927980875653</v>
      </c>
      <c r="O9" s="2">
        <f>604.778+55.989</f>
        <v>660.76700000000005</v>
      </c>
      <c r="P9" s="40">
        <f t="shared" si="0"/>
        <v>2.490287801902924E-2</v>
      </c>
      <c r="Q9" s="2">
        <f>621.009+56.213</f>
        <v>677.22199999999998</v>
      </c>
      <c r="R9" s="39">
        <f t="shared" si="1"/>
        <v>0.32852447203428126</v>
      </c>
      <c r="S9" s="2">
        <f>836.129+63.577</f>
        <v>899.70600000000002</v>
      </c>
      <c r="T9" s="39">
        <f t="shared" si="2"/>
        <v>-5.6887472129784622E-2</v>
      </c>
      <c r="U9" s="2">
        <v>848.524</v>
      </c>
    </row>
    <row r="10" spans="2:23" x14ac:dyDescent="0.2">
      <c r="B10" s="35" t="s">
        <v>67</v>
      </c>
      <c r="H10" s="6"/>
      <c r="J10" s="6"/>
      <c r="M10" s="2">
        <v>124.05800000000001</v>
      </c>
      <c r="O10" s="2">
        <f>0+140.253</f>
        <v>140.25299999999999</v>
      </c>
      <c r="Q10" s="2">
        <v>0</v>
      </c>
      <c r="R10" s="39"/>
      <c r="S10" s="2">
        <v>0.78500000000000003</v>
      </c>
      <c r="T10" s="39">
        <f t="shared" si="2"/>
        <v>-0.81146496815286628</v>
      </c>
      <c r="U10" s="2">
        <v>0.14799999999999999</v>
      </c>
    </row>
    <row r="11" spans="2:23" s="7" customFormat="1" x14ac:dyDescent="0.2">
      <c r="B11" s="7" t="s">
        <v>155</v>
      </c>
      <c r="C11" s="8"/>
      <c r="D11" s="9"/>
      <c r="E11" s="8">
        <v>7292.0510000000004</v>
      </c>
      <c r="F11" s="9">
        <f>+G11/E11-1</f>
        <v>4.6547260846091065E-2</v>
      </c>
      <c r="G11" s="8">
        <v>7631.4759999999997</v>
      </c>
      <c r="H11" s="9">
        <f t="shared" ref="H11" si="3">+I11/G11-1</f>
        <v>-2.4488316545842492E-2</v>
      </c>
      <c r="I11" s="8">
        <v>7444.5940000000001</v>
      </c>
      <c r="J11" s="9">
        <f t="shared" ref="J11" si="4">+K11/I11-1</f>
        <v>-8.857407133283568E-2</v>
      </c>
      <c r="K11" s="8">
        <v>6785.1959999999999</v>
      </c>
      <c r="M11" s="8">
        <f>+SUM(M7:M10)</f>
        <v>6362.7049999999999</v>
      </c>
      <c r="N11" s="9">
        <f>+O11/M11-1</f>
        <v>-3.5018125152745938E-3</v>
      </c>
      <c r="O11" s="8">
        <f>+SUM(O7:O10)</f>
        <v>6340.424</v>
      </c>
      <c r="P11" s="39">
        <f t="shared" si="0"/>
        <v>-0.19681444016993177</v>
      </c>
      <c r="Q11" s="8">
        <f>+SUM(Q7:Q10)</f>
        <v>5092.5370000000003</v>
      </c>
      <c r="R11" s="39">
        <f t="shared" si="1"/>
        <v>0.33632725692518295</v>
      </c>
      <c r="S11" s="8">
        <f>+SUM(S7:S10)</f>
        <v>6805.2960000000003</v>
      </c>
      <c r="T11" s="39">
        <f t="shared" si="2"/>
        <v>-1.8011707352626471E-2</v>
      </c>
      <c r="U11" s="8">
        <f>+SUM(U7:U10)</f>
        <v>6682.7210000000005</v>
      </c>
      <c r="W11" s="8"/>
    </row>
    <row r="12" spans="2:23" x14ac:dyDescent="0.2">
      <c r="B12" s="34" t="s">
        <v>127</v>
      </c>
      <c r="H12" s="6"/>
      <c r="J12" s="6"/>
      <c r="R12" s="39"/>
      <c r="T12" s="39"/>
    </row>
    <row r="13" spans="2:23" x14ac:dyDescent="0.2">
      <c r="B13" s="35" t="s">
        <v>140</v>
      </c>
      <c r="H13" s="6"/>
      <c r="J13" s="6"/>
      <c r="O13" s="2">
        <v>1507.3979999999999</v>
      </c>
      <c r="P13" s="40">
        <f t="shared" ref="P13:P23" si="5">+Q13/O13-1</f>
        <v>-5.107874628996445E-2</v>
      </c>
      <c r="Q13" s="2">
        <v>1430.402</v>
      </c>
      <c r="R13" s="39">
        <f t="shared" si="1"/>
        <v>0.31256947347668684</v>
      </c>
      <c r="S13" s="2">
        <v>1877.502</v>
      </c>
      <c r="T13" s="39">
        <f t="shared" si="2"/>
        <v>4.4198621359657686E-2</v>
      </c>
      <c r="U13" s="2">
        <v>1960.4849999999999</v>
      </c>
    </row>
    <row r="14" spans="2:23" x14ac:dyDescent="0.2">
      <c r="B14" s="35" t="s">
        <v>141</v>
      </c>
      <c r="H14" s="6"/>
      <c r="J14" s="6"/>
      <c r="O14" s="2">
        <v>1280.798</v>
      </c>
      <c r="P14" s="40">
        <f t="shared" si="5"/>
        <v>-0.16029772063978864</v>
      </c>
      <c r="Q14" s="2">
        <v>1075.489</v>
      </c>
      <c r="R14" s="39">
        <f t="shared" si="1"/>
        <v>0.33172910183181781</v>
      </c>
      <c r="S14" s="2">
        <v>1432.26</v>
      </c>
      <c r="T14" s="39">
        <f t="shared" si="2"/>
        <v>-6.1765321938754059E-2</v>
      </c>
      <c r="U14" s="2">
        <v>1343.796</v>
      </c>
    </row>
    <row r="15" spans="2:23" x14ac:dyDescent="0.2">
      <c r="B15" s="35" t="s">
        <v>142</v>
      </c>
      <c r="H15" s="6"/>
      <c r="J15" s="6"/>
      <c r="O15" s="2">
        <v>106.896</v>
      </c>
      <c r="P15" s="40">
        <f t="shared" si="5"/>
        <v>4.144214937883639E-3</v>
      </c>
      <c r="Q15" s="2">
        <v>107.339</v>
      </c>
      <c r="R15" s="39">
        <f t="shared" si="1"/>
        <v>-0.16584838688640657</v>
      </c>
      <c r="S15" s="2">
        <v>89.537000000000006</v>
      </c>
      <c r="T15" s="39">
        <f t="shared" si="2"/>
        <v>0.19966047555759059</v>
      </c>
      <c r="U15" s="2">
        <v>107.414</v>
      </c>
    </row>
    <row r="16" spans="2:23" x14ac:dyDescent="0.2">
      <c r="B16" s="35" t="s">
        <v>67</v>
      </c>
      <c r="H16" s="6"/>
      <c r="J16" s="6"/>
      <c r="O16" s="2">
        <v>24.501000000000001</v>
      </c>
      <c r="P16" s="40">
        <f t="shared" si="5"/>
        <v>-0.80845679768172729</v>
      </c>
      <c r="Q16" s="2">
        <v>4.6929999999999996</v>
      </c>
      <c r="R16" s="39"/>
      <c r="S16" s="2">
        <v>0</v>
      </c>
      <c r="T16" s="39"/>
      <c r="U16" s="2">
        <v>0</v>
      </c>
    </row>
    <row r="17" spans="2:23" s="7" customFormat="1" x14ac:dyDescent="0.2">
      <c r="B17" s="36" t="s">
        <v>155</v>
      </c>
      <c r="C17" s="8"/>
      <c r="D17" s="9"/>
      <c r="E17" s="8"/>
      <c r="F17" s="9"/>
      <c r="G17" s="8"/>
      <c r="H17" s="9"/>
      <c r="I17" s="8"/>
      <c r="J17" s="9"/>
      <c r="K17" s="8"/>
      <c r="M17" s="8"/>
      <c r="N17" s="9"/>
      <c r="O17" s="8">
        <f>SUM(O13:O16)</f>
        <v>2919.5930000000003</v>
      </c>
      <c r="P17" s="39">
        <f t="shared" si="5"/>
        <v>-0.10332604578788895</v>
      </c>
      <c r="Q17" s="8">
        <f>SUM(Q13:Q16)</f>
        <v>2617.9230000000002</v>
      </c>
      <c r="R17" s="39">
        <f t="shared" si="1"/>
        <v>0.29847172739610728</v>
      </c>
      <c r="S17" s="8">
        <f>SUM(S13:S16)</f>
        <v>3399.2989999999995</v>
      </c>
      <c r="T17" s="39">
        <f t="shared" si="2"/>
        <v>3.6466342031109544E-3</v>
      </c>
      <c r="U17" s="8">
        <f>SUM(U13:U16)</f>
        <v>3411.6950000000002</v>
      </c>
      <c r="W17" s="8"/>
    </row>
    <row r="18" spans="2:23" x14ac:dyDescent="0.2">
      <c r="B18" s="34" t="s">
        <v>156</v>
      </c>
      <c r="R18" s="39"/>
      <c r="T18" s="39"/>
    </row>
    <row r="19" spans="2:23" x14ac:dyDescent="0.2">
      <c r="B19" s="35" t="s">
        <v>140</v>
      </c>
      <c r="O19" s="2">
        <v>576.17399999999998</v>
      </c>
      <c r="P19" s="40">
        <f t="shared" si="5"/>
        <v>0.10935064754744217</v>
      </c>
      <c r="Q19" s="2">
        <v>639.17899999999997</v>
      </c>
      <c r="R19" s="39">
        <f t="shared" si="1"/>
        <v>9.6924335749453583E-2</v>
      </c>
      <c r="S19" s="2">
        <v>701.13099999999997</v>
      </c>
      <c r="T19" s="39">
        <f t="shared" si="2"/>
        <v>9.2032729974854899E-2</v>
      </c>
      <c r="U19" s="2">
        <v>765.65800000000002</v>
      </c>
    </row>
    <row r="20" spans="2:23" x14ac:dyDescent="0.2">
      <c r="B20" s="35" t="s">
        <v>141</v>
      </c>
      <c r="O20" s="2">
        <v>659.60900000000004</v>
      </c>
      <c r="P20" s="40">
        <f t="shared" si="5"/>
        <v>0.10379330785359198</v>
      </c>
      <c r="Q20" s="2">
        <v>728.072</v>
      </c>
      <c r="R20" s="39">
        <f t="shared" si="1"/>
        <v>8.8090188882418152E-2</v>
      </c>
      <c r="S20" s="2">
        <v>792.20799999999997</v>
      </c>
      <c r="T20" s="39">
        <f t="shared" si="2"/>
        <v>-0.18183103427382707</v>
      </c>
      <c r="U20" s="2">
        <v>648.16</v>
      </c>
    </row>
    <row r="21" spans="2:23" x14ac:dyDescent="0.2">
      <c r="B21" s="35" t="s">
        <v>142</v>
      </c>
      <c r="O21" s="2">
        <v>118.756</v>
      </c>
      <c r="P21" s="40">
        <f t="shared" si="5"/>
        <v>0.35672302873118</v>
      </c>
      <c r="Q21" s="2">
        <v>161.119</v>
      </c>
      <c r="R21" s="39">
        <f t="shared" si="1"/>
        <v>-0.10683407915888254</v>
      </c>
      <c r="S21" s="2">
        <v>143.90600000000001</v>
      </c>
      <c r="T21" s="39">
        <f t="shared" si="2"/>
        <v>-0.27563131488610626</v>
      </c>
      <c r="U21" s="2">
        <v>104.241</v>
      </c>
    </row>
    <row r="22" spans="2:23" x14ac:dyDescent="0.2">
      <c r="B22" s="35" t="s">
        <v>67</v>
      </c>
      <c r="O22" s="2">
        <v>0</v>
      </c>
      <c r="Q22" s="2">
        <v>0</v>
      </c>
      <c r="R22" s="39"/>
      <c r="S22" s="2">
        <v>0</v>
      </c>
      <c r="T22" s="39"/>
      <c r="U22" s="2">
        <v>0</v>
      </c>
    </row>
    <row r="23" spans="2:23" s="7" customFormat="1" x14ac:dyDescent="0.2">
      <c r="B23" s="36" t="s">
        <v>155</v>
      </c>
      <c r="C23" s="8"/>
      <c r="D23" s="9"/>
      <c r="E23" s="8"/>
      <c r="F23" s="9"/>
      <c r="G23" s="8"/>
      <c r="I23" s="8"/>
      <c r="K23" s="8"/>
      <c r="M23" s="8"/>
      <c r="N23" s="9"/>
      <c r="O23" s="8">
        <f>+SUM(O19:O22)</f>
        <v>1354.539</v>
      </c>
      <c r="P23" s="39">
        <f t="shared" si="5"/>
        <v>0.12833222225421337</v>
      </c>
      <c r="Q23" s="8">
        <f>+SUM(Q19:Q22)</f>
        <v>1528.37</v>
      </c>
      <c r="R23" s="39">
        <f t="shared" si="1"/>
        <v>7.1236022690840617E-2</v>
      </c>
      <c r="S23" s="8">
        <f>+SUM(S19:S22)</f>
        <v>1637.2449999999999</v>
      </c>
      <c r="T23" s="39">
        <f t="shared" si="2"/>
        <v>-7.2796679788302843E-2</v>
      </c>
      <c r="U23" s="8">
        <f>+SUM(U19:U22)</f>
        <v>1518.059</v>
      </c>
      <c r="W23" s="8"/>
    </row>
    <row r="24" spans="2:23" s="7" customFormat="1" x14ac:dyDescent="0.2">
      <c r="B24" s="36" t="s">
        <v>158</v>
      </c>
      <c r="C24" s="8"/>
      <c r="D24" s="9"/>
      <c r="E24" s="8"/>
      <c r="F24" s="9"/>
      <c r="G24" s="8"/>
      <c r="I24" s="8"/>
      <c r="K24" s="8"/>
      <c r="M24" s="8"/>
      <c r="N24" s="9"/>
      <c r="O24" s="8">
        <f>+O11+O17+O23</f>
        <v>10614.556</v>
      </c>
      <c r="P24" s="39">
        <f>+Q24/O24-1</f>
        <v>-0.12960749370958136</v>
      </c>
      <c r="Q24" s="8">
        <f>+Q11+Q17+Q23</f>
        <v>9238.8300000000017</v>
      </c>
      <c r="R24" s="39">
        <f>+S24/Q24-1</f>
        <v>0.28174671468140433</v>
      </c>
      <c r="S24" s="8">
        <f>+S11+S17+S23</f>
        <v>11841.84</v>
      </c>
      <c r="T24" s="39">
        <f t="shared" si="2"/>
        <v>-1.9369033866358576E-2</v>
      </c>
      <c r="U24" s="8">
        <f>+U11+U17+U23</f>
        <v>11612.475</v>
      </c>
      <c r="W24" s="8"/>
    </row>
    <row r="36" spans="4:4" x14ac:dyDescent="0.2">
      <c r="D36" s="2"/>
    </row>
  </sheetData>
  <pageMargins left="0.7" right="0.7" top="0.75" bottom="0.75" header="0.3" footer="0.3"/>
  <ignoredErrors>
    <ignoredError sqref="O7:O9 Q7:Q9 P17:R17 R23:R24 P23:P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Brands</vt:lpstr>
      <vt:lpstr>Geographic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2024-04-21T08:09:01Z</dcterms:created>
  <dcterms:modified xsi:type="dcterms:W3CDTF">2024-04-22T21:55:48Z</dcterms:modified>
</cp:coreProperties>
</file>