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Internet\"/>
    </mc:Choice>
  </mc:AlternateContent>
  <xr:revisionPtr revIDLastSave="0" documentId="13_ncr:1_{287D0249-3AA7-4EDA-B59D-32BB824898D6}" xr6:coauthVersionLast="47" xr6:coauthVersionMax="47" xr10:uidLastSave="{00000000-0000-0000-0000-000000000000}"/>
  <bookViews>
    <workbookView xWindow="-120" yWindow="-120" windowWidth="29040" windowHeight="15840" xr2:uid="{53911AD8-7828-4958-A268-86DBDA0D58C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1" i="2" l="1"/>
  <c r="AD11" i="2"/>
  <c r="AC11" i="2"/>
  <c r="AC25" i="2"/>
  <c r="Q53" i="2"/>
  <c r="Q14" i="2"/>
  <c r="Q12" i="2"/>
  <c r="Q9" i="2"/>
  <c r="Q10" i="2" s="1"/>
  <c r="Q6" i="2"/>
  <c r="M23" i="2"/>
  <c r="M20" i="2"/>
  <c r="M19" i="2"/>
  <c r="M18" i="2"/>
  <c r="M15" i="2"/>
  <c r="M16" i="2"/>
  <c r="M14" i="2"/>
  <c r="M13" i="2"/>
  <c r="M12" i="2"/>
  <c r="M11" i="2"/>
  <c r="M9" i="2"/>
  <c r="M10" i="2" s="1"/>
  <c r="M8" i="2"/>
  <c r="M7" i="2"/>
  <c r="M6" i="2"/>
  <c r="M5" i="2"/>
  <c r="M4" i="2"/>
  <c r="AP59" i="2"/>
  <c r="AP60" i="2" s="1"/>
  <c r="AP61" i="2" s="1"/>
  <c r="AO53" i="2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BZ53" i="2" s="1"/>
  <c r="CA53" i="2" s="1"/>
  <c r="CB53" i="2" s="1"/>
  <c r="CC53" i="2" s="1"/>
  <c r="CD53" i="2" s="1"/>
  <c r="CE53" i="2" s="1"/>
  <c r="CF53" i="2" s="1"/>
  <c r="CG53" i="2" s="1"/>
  <c r="CH53" i="2" s="1"/>
  <c r="CI53" i="2" s="1"/>
  <c r="CJ53" i="2" s="1"/>
  <c r="CK53" i="2" s="1"/>
  <c r="CL53" i="2" s="1"/>
  <c r="CM53" i="2" s="1"/>
  <c r="CN53" i="2" s="1"/>
  <c r="CO53" i="2" s="1"/>
  <c r="CP53" i="2" s="1"/>
  <c r="CQ53" i="2" s="1"/>
  <c r="CR53" i="2" s="1"/>
  <c r="CS53" i="2" s="1"/>
  <c r="CT53" i="2" s="1"/>
  <c r="CU53" i="2" s="1"/>
  <c r="CV53" i="2" s="1"/>
  <c r="CW53" i="2" s="1"/>
  <c r="CX53" i="2" s="1"/>
  <c r="CY53" i="2" s="1"/>
  <c r="CZ53" i="2" s="1"/>
  <c r="DA53" i="2" s="1"/>
  <c r="DB53" i="2" s="1"/>
  <c r="DC53" i="2" s="1"/>
  <c r="DD53" i="2" s="1"/>
  <c r="DE53" i="2" s="1"/>
  <c r="DF53" i="2" s="1"/>
  <c r="DG53" i="2" s="1"/>
  <c r="DH53" i="2" s="1"/>
  <c r="DI53" i="2" s="1"/>
  <c r="DJ53" i="2" s="1"/>
  <c r="DK53" i="2" s="1"/>
  <c r="DL53" i="2" s="1"/>
  <c r="DM53" i="2" s="1"/>
  <c r="DN53" i="2" s="1"/>
  <c r="DO53" i="2" s="1"/>
  <c r="DP53" i="2" s="1"/>
  <c r="DQ53" i="2" s="1"/>
  <c r="DR53" i="2" s="1"/>
  <c r="DS53" i="2" s="1"/>
  <c r="DT53" i="2" s="1"/>
  <c r="DU53" i="2" s="1"/>
  <c r="DV53" i="2" s="1"/>
  <c r="DW53" i="2" s="1"/>
  <c r="DX53" i="2" s="1"/>
  <c r="DY53" i="2" s="1"/>
  <c r="DZ53" i="2" s="1"/>
  <c r="EA53" i="2" s="1"/>
  <c r="EB53" i="2" s="1"/>
  <c r="EC53" i="2" s="1"/>
  <c r="ED53" i="2" s="1"/>
  <c r="EE53" i="2" s="1"/>
  <c r="EF53" i="2" s="1"/>
  <c r="EG53" i="2" s="1"/>
  <c r="EH53" i="2" s="1"/>
  <c r="EI53" i="2" s="1"/>
  <c r="EJ53" i="2" s="1"/>
  <c r="AN53" i="2"/>
  <c r="AE53" i="2" l="1"/>
  <c r="AF53" i="2" s="1"/>
  <c r="AG53" i="2" s="1"/>
  <c r="AH53" i="2" s="1"/>
  <c r="AI53" i="2" s="1"/>
  <c r="AJ53" i="2" s="1"/>
  <c r="AK53" i="2" s="1"/>
  <c r="AL53" i="2" s="1"/>
  <c r="AM53" i="2" s="1"/>
  <c r="AD53" i="2"/>
  <c r="AC53" i="2"/>
  <c r="AC20" i="2"/>
  <c r="AM19" i="2"/>
  <c r="AL19" i="2"/>
  <c r="AK19" i="2"/>
  <c r="AJ19" i="2"/>
  <c r="AI19" i="2"/>
  <c r="AH19" i="2"/>
  <c r="AG19" i="2"/>
  <c r="AF19" i="2"/>
  <c r="AE19" i="2"/>
  <c r="AD19" i="2"/>
  <c r="AC19" i="2"/>
  <c r="AM18" i="2"/>
  <c r="AL18" i="2"/>
  <c r="AK18" i="2"/>
  <c r="AJ18" i="2"/>
  <c r="AI18" i="2"/>
  <c r="AH18" i="2"/>
  <c r="AG18" i="2"/>
  <c r="AF18" i="2"/>
  <c r="AE18" i="2"/>
  <c r="AD18" i="2"/>
  <c r="AC18" i="2"/>
  <c r="AM23" i="2"/>
  <c r="AL23" i="2"/>
  <c r="AK23" i="2"/>
  <c r="AJ23" i="2"/>
  <c r="AI23" i="2"/>
  <c r="AH23" i="2"/>
  <c r="AG23" i="2"/>
  <c r="AF23" i="2"/>
  <c r="AE23" i="2"/>
  <c r="AD23" i="2"/>
  <c r="AC23" i="2"/>
  <c r="AC14" i="2"/>
  <c r="AD13" i="2"/>
  <c r="AC13" i="2"/>
  <c r="AD12" i="2"/>
  <c r="AD14" i="2" s="1"/>
  <c r="AC12" i="2"/>
  <c r="AB25" i="2"/>
  <c r="AG10" i="2"/>
  <c r="AF10" i="2"/>
  <c r="AE10" i="2"/>
  <c r="AD10" i="2"/>
  <c r="AC10" i="2"/>
  <c r="AM9" i="2"/>
  <c r="AM10" i="2" s="1"/>
  <c r="AL9" i="2"/>
  <c r="AL10" i="2" s="1"/>
  <c r="AK9" i="2"/>
  <c r="AK10" i="2" s="1"/>
  <c r="AJ9" i="2"/>
  <c r="AJ10" i="2" s="1"/>
  <c r="AI9" i="2"/>
  <c r="AI10" i="2" s="1"/>
  <c r="AH9" i="2"/>
  <c r="AH10" i="2" s="1"/>
  <c r="AG9" i="2"/>
  <c r="AF9" i="2"/>
  <c r="AE9" i="2"/>
  <c r="AD9" i="2"/>
  <c r="AC9" i="2"/>
  <c r="AD8" i="2"/>
  <c r="AE8" i="2" s="1"/>
  <c r="AF8" i="2" s="1"/>
  <c r="AG8" i="2" s="1"/>
  <c r="AH8" i="2" s="1"/>
  <c r="AI8" i="2" s="1"/>
  <c r="AJ8" i="2" s="1"/>
  <c r="AK8" i="2" s="1"/>
  <c r="AL8" i="2" s="1"/>
  <c r="AM8" i="2" s="1"/>
  <c r="AC8" i="2"/>
  <c r="AD7" i="2"/>
  <c r="AE7" i="2" s="1"/>
  <c r="AF7" i="2" s="1"/>
  <c r="AG7" i="2" s="1"/>
  <c r="AH7" i="2" s="1"/>
  <c r="AI7" i="2" s="1"/>
  <c r="AJ7" i="2" s="1"/>
  <c r="AK7" i="2" s="1"/>
  <c r="AL7" i="2" s="1"/>
  <c r="AM7" i="2" s="1"/>
  <c r="AC7" i="2"/>
  <c r="AM6" i="2"/>
  <c r="AL6" i="2"/>
  <c r="AK6" i="2"/>
  <c r="AJ6" i="2"/>
  <c r="AI6" i="2"/>
  <c r="AH6" i="2"/>
  <c r="AG6" i="2"/>
  <c r="AF6" i="2"/>
  <c r="AE6" i="2"/>
  <c r="AD6" i="2"/>
  <c r="AC6" i="2"/>
  <c r="AM5" i="2"/>
  <c r="AL5" i="2"/>
  <c r="AK5" i="2"/>
  <c r="AJ5" i="2"/>
  <c r="AI5" i="2"/>
  <c r="AH5" i="2"/>
  <c r="AG5" i="2"/>
  <c r="AF5" i="2"/>
  <c r="AE5" i="2"/>
  <c r="AD5" i="2"/>
  <c r="AC5" i="2"/>
  <c r="AD4" i="2"/>
  <c r="AE4" i="2" s="1"/>
  <c r="AF4" i="2" s="1"/>
  <c r="AG4" i="2" s="1"/>
  <c r="AH4" i="2" s="1"/>
  <c r="AI4" i="2" s="1"/>
  <c r="AJ4" i="2" s="1"/>
  <c r="AK4" i="2" s="1"/>
  <c r="AL4" i="2" s="1"/>
  <c r="AM4" i="2" s="1"/>
  <c r="AC4" i="2"/>
  <c r="W8" i="2"/>
  <c r="W9" i="2" s="1"/>
  <c r="W23" i="2"/>
  <c r="W6" i="2"/>
  <c r="X8" i="2"/>
  <c r="X9" i="2" s="1"/>
  <c r="X23" i="2"/>
  <c r="X6" i="2"/>
  <c r="X18" i="2" s="1"/>
  <c r="Y8" i="2"/>
  <c r="Y9" i="2" s="1"/>
  <c r="Y23" i="2"/>
  <c r="Y6" i="2"/>
  <c r="Y18" i="2" s="1"/>
  <c r="Z23" i="2"/>
  <c r="Z9" i="2"/>
  <c r="Z6" i="2"/>
  <c r="Z18" i="2" s="1"/>
  <c r="AA23" i="2"/>
  <c r="AA9" i="2"/>
  <c r="AA6" i="2"/>
  <c r="AA18" i="2" s="1"/>
  <c r="AB23" i="2"/>
  <c r="AB21" i="2"/>
  <c r="AB14" i="2"/>
  <c r="AB12" i="2"/>
  <c r="AB9" i="2"/>
  <c r="AB6" i="2"/>
  <c r="AB18" i="2" s="1"/>
  <c r="P68" i="2"/>
  <c r="N68" i="2"/>
  <c r="N67" i="2"/>
  <c r="N64" i="2"/>
  <c r="O64" i="2"/>
  <c r="O65" i="2"/>
  <c r="N61" i="2"/>
  <c r="N57" i="2"/>
  <c r="N55" i="2"/>
  <c r="O55" i="2" s="1"/>
  <c r="N53" i="2"/>
  <c r="N43" i="2"/>
  <c r="N41" i="2"/>
  <c r="N39" i="2"/>
  <c r="N36" i="2"/>
  <c r="N33" i="2"/>
  <c r="N26" i="2"/>
  <c r="N25" i="2" s="1"/>
  <c r="J23" i="2"/>
  <c r="J9" i="2"/>
  <c r="J6" i="2"/>
  <c r="J18" i="2" s="1"/>
  <c r="N23" i="2"/>
  <c r="N9" i="2"/>
  <c r="N6" i="2"/>
  <c r="L10" i="1"/>
  <c r="O63" i="2"/>
  <c r="P63" i="2" s="1"/>
  <c r="O60" i="2"/>
  <c r="O61" i="2" s="1"/>
  <c r="O59" i="2"/>
  <c r="O56" i="2"/>
  <c r="P56" i="2" s="1"/>
  <c r="O52" i="2"/>
  <c r="P52" i="2" s="1"/>
  <c r="O51" i="2"/>
  <c r="O50" i="2"/>
  <c r="P50" i="2" s="1"/>
  <c r="O49" i="2"/>
  <c r="P49" i="2" s="1"/>
  <c r="O48" i="2"/>
  <c r="O47" i="2"/>
  <c r="P47" i="2" s="1"/>
  <c r="O46" i="2"/>
  <c r="P46" i="2" s="1"/>
  <c r="O45" i="2"/>
  <c r="P45" i="2" s="1"/>
  <c r="O44" i="2"/>
  <c r="O43" i="2"/>
  <c r="O41" i="2"/>
  <c r="O39" i="2"/>
  <c r="O36" i="2"/>
  <c r="O33" i="2"/>
  <c r="O26" i="2"/>
  <c r="O25" i="2" s="1"/>
  <c r="K23" i="2"/>
  <c r="K9" i="2"/>
  <c r="K6" i="2"/>
  <c r="K18" i="2" s="1"/>
  <c r="O23" i="2"/>
  <c r="O9" i="2"/>
  <c r="O6" i="2"/>
  <c r="O18" i="2" s="1"/>
  <c r="P59" i="2"/>
  <c r="P51" i="2"/>
  <c r="P48" i="2"/>
  <c r="P43" i="2"/>
  <c r="P41" i="2"/>
  <c r="P39" i="2"/>
  <c r="P37" i="2"/>
  <c r="P36" i="2"/>
  <c r="P33" i="2"/>
  <c r="P26" i="2"/>
  <c r="P25" i="2" s="1"/>
  <c r="L6" i="2"/>
  <c r="L23" i="2"/>
  <c r="L9" i="2"/>
  <c r="P23" i="2"/>
  <c r="P21" i="2"/>
  <c r="P20" i="2"/>
  <c r="P19" i="2"/>
  <c r="P18" i="2"/>
  <c r="P15" i="2"/>
  <c r="P14" i="2"/>
  <c r="P12" i="2"/>
  <c r="P10" i="2"/>
  <c r="P9" i="2"/>
  <c r="P6" i="2"/>
  <c r="L8" i="1"/>
  <c r="L7" i="1"/>
  <c r="L6" i="1"/>
  <c r="L5" i="1"/>
  <c r="T3" i="2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D25" i="2" l="1"/>
  <c r="AD20" i="2"/>
  <c r="W10" i="2"/>
  <c r="W19" i="2" s="1"/>
  <c r="W18" i="2"/>
  <c r="X10" i="2"/>
  <c r="Y10" i="2"/>
  <c r="Z10" i="2"/>
  <c r="AA10" i="2"/>
  <c r="AB10" i="2"/>
  <c r="P60" i="2"/>
  <c r="P55" i="2"/>
  <c r="P57" i="2" s="1"/>
  <c r="O57" i="2"/>
  <c r="O53" i="2"/>
  <c r="P44" i="2"/>
  <c r="J10" i="2"/>
  <c r="N10" i="2"/>
  <c r="N19" i="2" s="1"/>
  <c r="N12" i="2"/>
  <c r="N18" i="2"/>
  <c r="P61" i="2"/>
  <c r="P53" i="2"/>
  <c r="P67" i="2" s="1"/>
  <c r="K10" i="2"/>
  <c r="O10" i="2"/>
  <c r="L10" i="2"/>
  <c r="L19" i="2" s="1"/>
  <c r="L18" i="2"/>
  <c r="AE11" i="2" l="1"/>
  <c r="AE12" i="2" s="1"/>
  <c r="W12" i="2"/>
  <c r="W21" i="2" s="1"/>
  <c r="X19" i="2"/>
  <c r="X12" i="2"/>
  <c r="Y19" i="2"/>
  <c r="Y12" i="2"/>
  <c r="Z19" i="2"/>
  <c r="Z12" i="2"/>
  <c r="AA19" i="2"/>
  <c r="AA12" i="2"/>
  <c r="AB19" i="2"/>
  <c r="O67" i="2"/>
  <c r="O68" i="2" s="1"/>
  <c r="P64" i="2"/>
  <c r="P65" i="2" s="1"/>
  <c r="J19" i="2"/>
  <c r="J12" i="2"/>
  <c r="N21" i="2"/>
  <c r="N14" i="2"/>
  <c r="K19" i="2"/>
  <c r="K12" i="2"/>
  <c r="O19" i="2"/>
  <c r="O12" i="2"/>
  <c r="L12" i="2"/>
  <c r="L21" i="2" s="1"/>
  <c r="AE13" i="2" l="1"/>
  <c r="AE14" i="2"/>
  <c r="W14" i="2"/>
  <c r="W20" i="2"/>
  <c r="W15" i="2"/>
  <c r="X21" i="2"/>
  <c r="X14" i="2"/>
  <c r="Y21" i="2"/>
  <c r="Y14" i="2"/>
  <c r="Z21" i="2"/>
  <c r="Z14" i="2"/>
  <c r="AA21" i="2"/>
  <c r="AA14" i="2"/>
  <c r="J21" i="2"/>
  <c r="J14" i="2"/>
  <c r="N20" i="2"/>
  <c r="N15" i="2"/>
  <c r="K21" i="2"/>
  <c r="K14" i="2"/>
  <c r="O21" i="2"/>
  <c r="O14" i="2"/>
  <c r="L14" i="2"/>
  <c r="L20" i="2" s="1"/>
  <c r="AE20" i="2" l="1"/>
  <c r="AE25" i="2"/>
  <c r="X20" i="2"/>
  <c r="X15" i="2"/>
  <c r="Y20" i="2"/>
  <c r="Y15" i="2"/>
  <c r="Z20" i="2"/>
  <c r="Z15" i="2"/>
  <c r="AA20" i="2"/>
  <c r="AA15" i="2"/>
  <c r="AB20" i="2"/>
  <c r="AB15" i="2"/>
  <c r="J20" i="2"/>
  <c r="J15" i="2"/>
  <c r="K20" i="2"/>
  <c r="K15" i="2"/>
  <c r="O20" i="2"/>
  <c r="O15" i="2"/>
  <c r="L15" i="2"/>
  <c r="AF11" i="2" l="1"/>
  <c r="AF12" i="2" s="1"/>
  <c r="AF13" i="2" l="1"/>
  <c r="AF14" i="2"/>
  <c r="AF20" i="2" l="1"/>
  <c r="AF25" i="2"/>
  <c r="AG11" i="2" l="1"/>
  <c r="AG12" i="2" s="1"/>
  <c r="AG14" i="2" l="1"/>
  <c r="AG13" i="2"/>
  <c r="AG20" i="2" l="1"/>
  <c r="AG25" i="2"/>
  <c r="AH11" i="2" l="1"/>
  <c r="AH12" i="2" s="1"/>
  <c r="AH13" i="2" l="1"/>
  <c r="AH14" i="2" s="1"/>
  <c r="AH20" i="2" l="1"/>
  <c r="AH25" i="2"/>
  <c r="AI11" i="2" l="1"/>
  <c r="AI12" i="2" s="1"/>
  <c r="AI13" i="2" l="1"/>
  <c r="AI14" i="2"/>
  <c r="AI20" i="2" l="1"/>
  <c r="AI25" i="2"/>
  <c r="AJ11" i="2" l="1"/>
  <c r="AJ12" i="2" s="1"/>
  <c r="AJ13" i="2" l="1"/>
  <c r="AJ14" i="2" s="1"/>
  <c r="AJ20" i="2" l="1"/>
  <c r="AJ25" i="2"/>
  <c r="AK11" i="2" l="1"/>
  <c r="AK12" i="2" s="1"/>
  <c r="AK13" i="2" l="1"/>
  <c r="AK14" i="2"/>
  <c r="AK20" i="2" l="1"/>
  <c r="AK25" i="2"/>
  <c r="AL11" i="2" l="1"/>
  <c r="AL12" i="2" s="1"/>
  <c r="AL13" i="2" l="1"/>
  <c r="AL14" i="2" s="1"/>
  <c r="AL20" i="2" l="1"/>
  <c r="AL25" i="2"/>
  <c r="AM12" i="2" l="1"/>
  <c r="AM13" i="2" l="1"/>
  <c r="AM14" i="2" s="1"/>
  <c r="AM20" i="2" l="1"/>
  <c r="AM25" i="2"/>
</calcChain>
</file>

<file path=xl/sharedStrings.xml><?xml version="1.0" encoding="utf-8"?>
<sst xmlns="http://schemas.openxmlformats.org/spreadsheetml/2006/main" count="93" uniqueCount="83">
  <si>
    <t>Revenue</t>
  </si>
  <si>
    <t>COGS</t>
  </si>
  <si>
    <t>Gross profit</t>
  </si>
  <si>
    <t>SG&amp;A</t>
  </si>
  <si>
    <t>R&amp;D</t>
  </si>
  <si>
    <t>Operating expense</t>
  </si>
  <si>
    <t>Operating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</si>
  <si>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</si>
  <si>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</si>
  <si>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</si>
  <si>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</si>
  <si>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</si>
  <si>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</si>
  <si>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</si>
  <si>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</si>
  <si>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</si>
  <si>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</si>
  <si>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</si>
  <si>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</si>
  <si>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</si>
  <si>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</si>
  <si>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</si>
  <si>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</si>
  <si>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</si>
  <si>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</si>
  <si>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</si>
  <si>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</si>
  <si>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</si>
  <si>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</si>
  <si>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</si>
  <si>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</si>
  <si>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</si>
  <si>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</si>
  <si>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</si>
  <si>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</si>
  <si>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</si>
  <si>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</si>
  <si>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</si>
  <si>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Verisign</t>
  </si>
  <si>
    <t>(VRSN)</t>
  </si>
  <si>
    <t>Interest expense</t>
  </si>
  <si>
    <t>Net cash</t>
  </si>
  <si>
    <t>OCA</t>
  </si>
  <si>
    <t>PP&amp;E</t>
  </si>
  <si>
    <t>Goodwill</t>
  </si>
  <si>
    <t>D/T</t>
  </si>
  <si>
    <t>Deposits</t>
  </si>
  <si>
    <t>Other</t>
  </si>
  <si>
    <t>Assets</t>
  </si>
  <si>
    <t>A/P</t>
  </si>
  <si>
    <t>DR</t>
  </si>
  <si>
    <t>Tax &amp; other</t>
  </si>
  <si>
    <t>Liabilties</t>
  </si>
  <si>
    <t>S/E</t>
  </si>
  <si>
    <t>L+S/E</t>
  </si>
  <si>
    <t>Model NI</t>
  </si>
  <si>
    <t>Reported NI</t>
  </si>
  <si>
    <t>D&amp;A</t>
  </si>
  <si>
    <t>SBC</t>
  </si>
  <si>
    <t>Amor in debt securities</t>
  </si>
  <si>
    <t>Other assets</t>
  </si>
  <si>
    <t>Other liabilties</t>
  </si>
  <si>
    <t>CFFO</t>
  </si>
  <si>
    <t>Securities</t>
  </si>
  <si>
    <t>CapEx</t>
  </si>
  <si>
    <t>CFFI</t>
  </si>
  <si>
    <t>Buybacks</t>
  </si>
  <si>
    <t>ESOP</t>
  </si>
  <si>
    <t>CFFF</t>
  </si>
  <si>
    <t>CIC</t>
  </si>
  <si>
    <t>FX</t>
  </si>
  <si>
    <t>Cash end of period</t>
  </si>
  <si>
    <t>FCF</t>
  </si>
  <si>
    <t>FCF TTM</t>
  </si>
  <si>
    <t>Growth rate</t>
  </si>
  <si>
    <t>Terminal</t>
  </si>
  <si>
    <t>Discount</t>
  </si>
  <si>
    <t>NPV</t>
  </si>
  <si>
    <t>Share</t>
  </si>
  <si>
    <t>Founded</t>
  </si>
  <si>
    <t>Founders</t>
  </si>
  <si>
    <t>D. James Bidzos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</si>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</sst>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3]d/mmm;@"/>
    <numFmt numFmtId="165" formatCode="0\x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3" fillId="0" borderId="0" xfId="0" applyNumberFormat="1" applyFont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3" fontId="2" fillId="0" borderId="0" xfId="0" applyNumberFormat="1" applyFont="1"/>
    <xf numFmtId="165" fontId="0" fillId="0" borderId="0" xfId="0" applyNumberFormat="1"/>
    <xf numFmtId="9" fontId="2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38100</xdr:rowOff>
    </xdr:from>
    <xdr:to>
      <xdr:col>16</xdr:col>
      <xdr:colOff>38100</xdr:colOff>
      <xdr:row>74</xdr:row>
      <xdr:rowOff>28575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DACD404-8F00-60F9-CC2D-4D2844D0742F}"/>
            </a:ext>
          </a:extLst>
        </xdr:cNvPr>
        <xdr:cNvCxnSpPr/>
      </xdr:nvCxnSpPr>
      <xdr:spPr>
        <a:xfrm>
          <a:off x="10410825" y="38100"/>
          <a:ext cx="0" cy="122682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38100</xdr:colOff>
      <xdr:row>0</xdr:row>
      <xdr:rowOff>66675</xdr:rowOff>
    </xdr:from>
    <xdr:to>
      <xdr:col>28</xdr:col>
      <xdr:colOff>38100</xdr:colOff>
      <xdr:row>71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3BAB9EE-11A2-46E9-99AD-2C8EE925258C}"/>
            </a:ext>
          </a:extLst>
        </xdr:cNvPr>
        <xdr:cNvCxnSpPr/>
      </xdr:nvCxnSpPr>
      <xdr:spPr>
        <a:xfrm>
          <a:off x="17726025" y="66675"/>
          <a:ext cx="0" cy="118300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D1DB-7A47-41A5-8588-E7F11EA8697C}">
  <dimension ref="K3:M14"/>
  <sheetViews>
    <sheetView tabSelected="1" workbookViewId="0">
      <selection activeCell="P15" sqref="P15"/>
    </sheetView>
  </sheetViews>
  <sheetFormatPr defaultRowHeight="12.75" x14ac:dyDescent="0.2"/>
  <sheetData>
    <row r="3" spans="11:13" x14ac:dyDescent="0.2">
      <c r="K3" t="s">
        <v>33</v>
      </c>
      <c r="L3">
        <v>181.41</v>
      </c>
    </row>
    <row r="4" spans="11:13" x14ac:dyDescent="0.2">
      <c r="K4" t="s">
        <v>11</v>
      </c>
      <c r="L4" s="1">
        <v>96.1</v>
      </c>
      <c r="M4" s="12" t="s">
        <v>31</v>
      </c>
    </row>
    <row r="5" spans="11:13" x14ac:dyDescent="0.2">
      <c r="K5" t="s">
        <v>34</v>
      </c>
      <c r="L5" s="1">
        <f>+L3*L4</f>
        <v>17433.501</v>
      </c>
    </row>
    <row r="6" spans="11:13" x14ac:dyDescent="0.2">
      <c r="K6" t="s">
        <v>35</v>
      </c>
      <c r="L6" s="1">
        <f>267.3+377.6</f>
        <v>644.90000000000009</v>
      </c>
      <c r="M6" s="12" t="s">
        <v>31</v>
      </c>
    </row>
    <row r="7" spans="11:13" x14ac:dyDescent="0.2">
      <c r="K7" t="s">
        <v>36</v>
      </c>
      <c r="L7" s="1">
        <f>299.7+1492.2</f>
        <v>1791.9</v>
      </c>
      <c r="M7" s="12" t="s">
        <v>31</v>
      </c>
    </row>
    <row r="8" spans="11:13" x14ac:dyDescent="0.2">
      <c r="K8" t="s">
        <v>37</v>
      </c>
      <c r="L8" s="1">
        <f>+L5-L6+L7</f>
        <v>18580.501</v>
      </c>
    </row>
    <row r="9" spans="11:13" x14ac:dyDescent="0.2">
      <c r="L9">
        <v>800</v>
      </c>
    </row>
    <row r="10" spans="11:13" x14ac:dyDescent="0.2">
      <c r="L10" s="10">
        <f>+L8/L9</f>
        <v>23.225626250000001</v>
      </c>
    </row>
    <row r="12" spans="11:13" x14ac:dyDescent="0.2">
      <c r="K12" t="s">
        <v>79</v>
      </c>
      <c r="L12">
        <v>1995</v>
      </c>
    </row>
    <row r="13" spans="11:13" x14ac:dyDescent="0.2">
      <c r="K13" t="s">
        <v>80</v>
      </c>
      <c r="L13" t="s">
        <v>81</v>
      </c>
    </row>
    <row r="14" spans="11:13" x14ac:dyDescent="0.2">
      <c r="K14" t="s">
        <v>82</v>
      </c>
      <c r="L14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2BE1-B9F7-491B-A073-318672108160}">
  <dimension ref="A1:EJ68"/>
  <sheetViews>
    <sheetView workbookViewId="0">
      <pane xSplit="1" ySplit="3" topLeftCell="S4" activePane="bottomRight" state="frozen"/>
      <selection pane="topRight" activeCell="B1" sqref="B1"/>
      <selection pane="bottomLeft" activeCell="A3" sqref="A3"/>
      <selection pane="bottomRight" activeCell="AJ31" sqref="AJ31"/>
    </sheetView>
  </sheetViews>
  <sheetFormatPr defaultRowHeight="12.75" x14ac:dyDescent="0.2"/>
  <cols>
    <col min="1" max="1" width="18.42578125" style="1" bestFit="1" customWidth="1"/>
    <col min="2" max="40" width="9.140625" style="1"/>
    <col min="41" max="41" width="10.5703125" style="1" bestFit="1" customWidth="1"/>
    <col min="42" max="16384" width="9.140625" style="1"/>
  </cols>
  <sheetData>
    <row r="1" spans="1:39" ht="30.75" customHeight="1" x14ac:dyDescent="0.4">
      <c r="A1" s="5" t="s">
        <v>38</v>
      </c>
    </row>
    <row r="2" spans="1:39" s="8" customFormat="1" ht="13.5" customHeight="1" x14ac:dyDescent="0.2">
      <c r="A2" s="6" t="s">
        <v>39</v>
      </c>
      <c r="N2" s="8">
        <v>45382</v>
      </c>
      <c r="O2" s="8">
        <v>45473</v>
      </c>
      <c r="P2" s="7">
        <v>45565</v>
      </c>
      <c r="Q2" s="8">
        <v>45657</v>
      </c>
    </row>
    <row r="3" spans="1:39" ht="13.5" customHeight="1" x14ac:dyDescent="0.2">
      <c r="B3" s="2" t="s">
        <v>17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18</v>
      </c>
      <c r="H3" s="2" t="s">
        <v>19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S3">
        <v>2014</v>
      </c>
      <c r="T3">
        <f>+S3+1</f>
        <v>2015</v>
      </c>
      <c r="U3">
        <f t="shared" ref="U3:AM3" si="0">+T3+1</f>
        <v>2016</v>
      </c>
      <c r="V3">
        <f t="shared" si="0"/>
        <v>2017</v>
      </c>
      <c r="W3">
        <f t="shared" si="0"/>
        <v>2018</v>
      </c>
      <c r="X3">
        <f t="shared" si="0"/>
        <v>2019</v>
      </c>
      <c r="Y3">
        <f t="shared" si="0"/>
        <v>2020</v>
      </c>
      <c r="Z3">
        <f t="shared" si="0"/>
        <v>2021</v>
      </c>
      <c r="AA3">
        <f t="shared" si="0"/>
        <v>2022</v>
      </c>
      <c r="AB3">
        <f t="shared" si="0"/>
        <v>2023</v>
      </c>
      <c r="AC3">
        <f t="shared" si="0"/>
        <v>2024</v>
      </c>
      <c r="AD3">
        <f t="shared" si="0"/>
        <v>2025</v>
      </c>
      <c r="AE3">
        <f t="shared" si="0"/>
        <v>2026</v>
      </c>
      <c r="AF3">
        <f t="shared" si="0"/>
        <v>2027</v>
      </c>
      <c r="AG3">
        <f t="shared" si="0"/>
        <v>2028</v>
      </c>
      <c r="AH3">
        <f t="shared" si="0"/>
        <v>2029</v>
      </c>
      <c r="AI3">
        <f t="shared" si="0"/>
        <v>2030</v>
      </c>
      <c r="AJ3">
        <f t="shared" si="0"/>
        <v>2031</v>
      </c>
      <c r="AK3">
        <f t="shared" si="0"/>
        <v>2032</v>
      </c>
      <c r="AL3">
        <f t="shared" si="0"/>
        <v>2033</v>
      </c>
      <c r="AM3">
        <f t="shared" si="0"/>
        <v>2034</v>
      </c>
    </row>
    <row r="4" spans="1:39" s="9" customFormat="1" ht="13.5" customHeight="1" x14ac:dyDescent="0.2">
      <c r="A4" s="9" t="s">
        <v>0</v>
      </c>
      <c r="J4" s="9">
        <v>364.4</v>
      </c>
      <c r="K4" s="9">
        <v>372</v>
      </c>
      <c r="L4" s="9">
        <v>376.3</v>
      </c>
      <c r="M4" s="9">
        <f>+AB4-SUM(J4:L4)</f>
        <v>380.39999999999986</v>
      </c>
      <c r="N4" s="9">
        <v>384.3</v>
      </c>
      <c r="O4" s="9">
        <v>387.1</v>
      </c>
      <c r="P4" s="9">
        <v>390.6</v>
      </c>
      <c r="W4" s="9">
        <v>1214.9690000000001</v>
      </c>
      <c r="X4" s="9">
        <v>1231.6610000000001</v>
      </c>
      <c r="Y4" s="9">
        <v>1265.0519999999999</v>
      </c>
      <c r="Z4" s="9">
        <v>1327.6</v>
      </c>
      <c r="AA4" s="9">
        <v>1424.9</v>
      </c>
      <c r="AB4" s="9">
        <v>1493.1</v>
      </c>
      <c r="AC4" s="9">
        <f>+AB4*1.05</f>
        <v>1567.7549999999999</v>
      </c>
      <c r="AD4" s="9">
        <f t="shared" ref="AD4:AM4" si="1">+AC4*1.05</f>
        <v>1646.14275</v>
      </c>
      <c r="AE4" s="9">
        <f t="shared" si="1"/>
        <v>1728.4498875000002</v>
      </c>
      <c r="AF4" s="9">
        <f t="shared" si="1"/>
        <v>1814.8723818750002</v>
      </c>
      <c r="AG4" s="9">
        <f t="shared" si="1"/>
        <v>1905.6160009687503</v>
      </c>
      <c r="AH4" s="9">
        <f t="shared" si="1"/>
        <v>2000.896801017188</v>
      </c>
      <c r="AI4" s="9">
        <f t="shared" si="1"/>
        <v>2100.9416410680474</v>
      </c>
      <c r="AJ4" s="9">
        <f t="shared" si="1"/>
        <v>2205.9887231214498</v>
      </c>
      <c r="AK4" s="9">
        <f t="shared" si="1"/>
        <v>2316.2881592775225</v>
      </c>
      <c r="AL4" s="9">
        <f t="shared" si="1"/>
        <v>2432.1025672413989</v>
      </c>
      <c r="AM4" s="9">
        <f t="shared" si="1"/>
        <v>2553.7076956034689</v>
      </c>
    </row>
    <row r="5" spans="1:39" ht="13.5" customHeight="1" x14ac:dyDescent="0.2">
      <c r="A5" s="1" t="s">
        <v>1</v>
      </c>
      <c r="J5" s="1">
        <v>49.9</v>
      </c>
      <c r="K5" s="1">
        <v>50.3</v>
      </c>
      <c r="L5" s="1">
        <v>48.6</v>
      </c>
      <c r="M5" s="1">
        <f>+AB5-SUM(J5:L5)</f>
        <v>48.500000000000028</v>
      </c>
      <c r="N5" s="1">
        <v>49.1</v>
      </c>
      <c r="O5" s="1">
        <v>47.1</v>
      </c>
      <c r="P5" s="1">
        <v>46.8</v>
      </c>
      <c r="W5" s="1">
        <v>192.13399999999999</v>
      </c>
      <c r="X5" s="1">
        <v>180.46700000000001</v>
      </c>
      <c r="Y5" s="1">
        <v>180.17699999999999</v>
      </c>
      <c r="Z5" s="1">
        <v>191.9</v>
      </c>
      <c r="AA5" s="1">
        <v>200.7</v>
      </c>
      <c r="AB5" s="1">
        <v>197.3</v>
      </c>
      <c r="AC5" s="1">
        <f>+AC4*0.14</f>
        <v>219.48570000000001</v>
      </c>
      <c r="AD5" s="1">
        <f t="shared" ref="AD5:AM5" si="2">+AD4*0.14</f>
        <v>230.45998500000002</v>
      </c>
      <c r="AE5" s="1">
        <f t="shared" si="2"/>
        <v>241.98298425000004</v>
      </c>
      <c r="AF5" s="1">
        <f t="shared" si="2"/>
        <v>254.08213346250005</v>
      </c>
      <c r="AG5" s="1">
        <f t="shared" si="2"/>
        <v>266.78624013562506</v>
      </c>
      <c r="AH5" s="1">
        <f t="shared" si="2"/>
        <v>280.12555214240632</v>
      </c>
      <c r="AI5" s="1">
        <f t="shared" si="2"/>
        <v>294.13182974952667</v>
      </c>
      <c r="AJ5" s="1">
        <f t="shared" si="2"/>
        <v>308.83842123700299</v>
      </c>
      <c r="AK5" s="1">
        <f t="shared" si="2"/>
        <v>324.28034229885316</v>
      </c>
      <c r="AL5" s="1">
        <f t="shared" si="2"/>
        <v>340.49435941379591</v>
      </c>
      <c r="AM5" s="1">
        <f t="shared" si="2"/>
        <v>357.51907738448568</v>
      </c>
    </row>
    <row r="6" spans="1:39" ht="13.5" customHeight="1" x14ac:dyDescent="0.2">
      <c r="A6" s="1" t="s">
        <v>2</v>
      </c>
      <c r="J6" s="1">
        <f t="shared" ref="J6:Q6" si="3">+J4-J5</f>
        <v>314.5</v>
      </c>
      <c r="K6" s="1">
        <f t="shared" si="3"/>
        <v>321.7</v>
      </c>
      <c r="L6" s="1">
        <f t="shared" si="3"/>
        <v>327.7</v>
      </c>
      <c r="M6" s="1">
        <f t="shared" si="3"/>
        <v>331.89999999999986</v>
      </c>
      <c r="N6" s="1">
        <f t="shared" si="3"/>
        <v>335.2</v>
      </c>
      <c r="O6" s="1">
        <f t="shared" si="3"/>
        <v>340</v>
      </c>
      <c r="P6" s="1">
        <f t="shared" si="3"/>
        <v>343.8</v>
      </c>
      <c r="Q6" s="1">
        <f t="shared" si="3"/>
        <v>0</v>
      </c>
      <c r="W6" s="1">
        <f t="shared" ref="W6:AB6" si="4">+W4-W5</f>
        <v>1022.835</v>
      </c>
      <c r="X6" s="1">
        <f t="shared" si="4"/>
        <v>1051.194</v>
      </c>
      <c r="Y6" s="1">
        <f t="shared" si="4"/>
        <v>1084.875</v>
      </c>
      <c r="Z6" s="1">
        <f t="shared" si="4"/>
        <v>1135.6999999999998</v>
      </c>
      <c r="AA6" s="1">
        <f t="shared" si="4"/>
        <v>1224.2</v>
      </c>
      <c r="AB6" s="1">
        <f t="shared" si="4"/>
        <v>1295.8</v>
      </c>
      <c r="AC6" s="1">
        <f t="shared" ref="AC6:AM6" si="5">+AC4-AC5</f>
        <v>1348.2692999999999</v>
      </c>
      <c r="AD6" s="1">
        <f t="shared" si="5"/>
        <v>1415.682765</v>
      </c>
      <c r="AE6" s="1">
        <f t="shared" si="5"/>
        <v>1486.4669032500001</v>
      </c>
      <c r="AF6" s="1">
        <f t="shared" si="5"/>
        <v>1560.7902484125002</v>
      </c>
      <c r="AG6" s="1">
        <f t="shared" si="5"/>
        <v>1638.8297608331252</v>
      </c>
      <c r="AH6" s="1">
        <f t="shared" si="5"/>
        <v>1720.7712488747816</v>
      </c>
      <c r="AI6" s="1">
        <f t="shared" si="5"/>
        <v>1806.8098113185206</v>
      </c>
      <c r="AJ6" s="1">
        <f t="shared" si="5"/>
        <v>1897.1503018844469</v>
      </c>
      <c r="AK6" s="1">
        <f t="shared" si="5"/>
        <v>1992.0078169786693</v>
      </c>
      <c r="AL6" s="1">
        <f t="shared" si="5"/>
        <v>2091.6082078276031</v>
      </c>
      <c r="AM6" s="1">
        <f t="shared" si="5"/>
        <v>2196.1886182189833</v>
      </c>
    </row>
    <row r="7" spans="1:39" ht="13.5" customHeight="1" x14ac:dyDescent="0.2">
      <c r="A7" s="1" t="s">
        <v>4</v>
      </c>
      <c r="J7" s="1">
        <v>24.2</v>
      </c>
      <c r="K7" s="1">
        <v>22.2</v>
      </c>
      <c r="L7" s="1">
        <v>21.7</v>
      </c>
      <c r="M7" s="1">
        <f t="shared" ref="M7:M8" si="6">+AB7-SUM(J7:L7)</f>
        <v>22.900000000000006</v>
      </c>
      <c r="N7" s="1">
        <v>24.8</v>
      </c>
      <c r="O7" s="1">
        <v>23.8</v>
      </c>
      <c r="P7" s="1">
        <v>23.2</v>
      </c>
      <c r="W7" s="1">
        <v>57.884</v>
      </c>
      <c r="X7" s="1">
        <v>60.805</v>
      </c>
      <c r="Y7" s="1">
        <v>74.671000000000006</v>
      </c>
      <c r="Z7" s="1">
        <v>80.5</v>
      </c>
      <c r="AA7" s="1">
        <v>85.7</v>
      </c>
      <c r="AB7" s="1">
        <v>91</v>
      </c>
      <c r="AC7" s="1">
        <f>+AB7*1.03</f>
        <v>93.73</v>
      </c>
      <c r="AD7" s="1">
        <f t="shared" ref="AD7:AM7" si="7">+AC7*1.03</f>
        <v>96.541900000000012</v>
      </c>
      <c r="AE7" s="1">
        <f t="shared" si="7"/>
        <v>99.438157000000018</v>
      </c>
      <c r="AF7" s="1">
        <f t="shared" si="7"/>
        <v>102.42130171000002</v>
      </c>
      <c r="AG7" s="1">
        <f t="shared" si="7"/>
        <v>105.49394076130002</v>
      </c>
      <c r="AH7" s="1">
        <f t="shared" si="7"/>
        <v>108.65875898413903</v>
      </c>
      <c r="AI7" s="1">
        <f t="shared" si="7"/>
        <v>111.9185217536632</v>
      </c>
      <c r="AJ7" s="1">
        <f t="shared" si="7"/>
        <v>115.2760774062731</v>
      </c>
      <c r="AK7" s="1">
        <f t="shared" si="7"/>
        <v>118.7343597284613</v>
      </c>
      <c r="AL7" s="1">
        <f t="shared" si="7"/>
        <v>122.29639052031514</v>
      </c>
      <c r="AM7" s="1">
        <f t="shared" si="7"/>
        <v>125.9652822359246</v>
      </c>
    </row>
    <row r="8" spans="1:39" ht="13.5" customHeight="1" x14ac:dyDescent="0.2">
      <c r="A8" s="1" t="s">
        <v>3</v>
      </c>
      <c r="J8" s="1">
        <v>49</v>
      </c>
      <c r="K8" s="1">
        <v>50.8</v>
      </c>
      <c r="L8" s="1">
        <v>51.7</v>
      </c>
      <c r="M8" s="1">
        <f t="shared" si="6"/>
        <v>52.699999999999989</v>
      </c>
      <c r="N8" s="1">
        <v>51.5</v>
      </c>
      <c r="O8" s="1">
        <v>50</v>
      </c>
      <c r="P8" s="1">
        <v>51.3</v>
      </c>
      <c r="W8" s="1">
        <f>64.891+132.668</f>
        <v>197.55900000000003</v>
      </c>
      <c r="X8" s="1">
        <f>46.637+137.625</f>
        <v>184.262</v>
      </c>
      <c r="Y8" s="1">
        <f>36.79+149.213</f>
        <v>186.00299999999999</v>
      </c>
      <c r="Z8" s="1">
        <v>188.4</v>
      </c>
      <c r="AA8" s="1">
        <v>195.4</v>
      </c>
      <c r="AB8" s="1">
        <v>204.2</v>
      </c>
      <c r="AC8" s="1">
        <f>+AB8*1.04</f>
        <v>212.36799999999999</v>
      </c>
      <c r="AD8" s="1">
        <f t="shared" ref="AD8:AM8" si="8">+AC8*1.04</f>
        <v>220.86272</v>
      </c>
      <c r="AE8" s="1">
        <f t="shared" si="8"/>
        <v>229.6972288</v>
      </c>
      <c r="AF8" s="1">
        <f t="shared" si="8"/>
        <v>238.885117952</v>
      </c>
      <c r="AG8" s="1">
        <f t="shared" si="8"/>
        <v>248.44052267008001</v>
      </c>
      <c r="AH8" s="1">
        <f t="shared" si="8"/>
        <v>258.37814357688325</v>
      </c>
      <c r="AI8" s="1">
        <f t="shared" si="8"/>
        <v>268.71326931995861</v>
      </c>
      <c r="AJ8" s="1">
        <f t="shared" si="8"/>
        <v>279.46180009275696</v>
      </c>
      <c r="AK8" s="1">
        <f t="shared" si="8"/>
        <v>290.64027209646724</v>
      </c>
      <c r="AL8" s="1">
        <f t="shared" si="8"/>
        <v>302.26588298032596</v>
      </c>
      <c r="AM8" s="1">
        <f t="shared" si="8"/>
        <v>314.356518299539</v>
      </c>
    </row>
    <row r="9" spans="1:39" x14ac:dyDescent="0.2">
      <c r="A9" s="1" t="s">
        <v>5</v>
      </c>
      <c r="J9" s="1">
        <f t="shared" ref="J9:Q9" si="9">+SUM(J7:J8)</f>
        <v>73.2</v>
      </c>
      <c r="K9" s="1">
        <f t="shared" si="9"/>
        <v>73</v>
      </c>
      <c r="L9" s="1">
        <f t="shared" si="9"/>
        <v>73.400000000000006</v>
      </c>
      <c r="M9" s="1">
        <f t="shared" si="9"/>
        <v>75.599999999999994</v>
      </c>
      <c r="N9" s="1">
        <f t="shared" si="9"/>
        <v>76.3</v>
      </c>
      <c r="O9" s="1">
        <f t="shared" si="9"/>
        <v>73.8</v>
      </c>
      <c r="P9" s="1">
        <f t="shared" si="9"/>
        <v>74.5</v>
      </c>
      <c r="Q9" s="1">
        <f t="shared" si="9"/>
        <v>0</v>
      </c>
      <c r="W9" s="1">
        <f t="shared" ref="W9:AB9" si="10">+SUM(W7:W8)</f>
        <v>255.44300000000004</v>
      </c>
      <c r="X9" s="1">
        <f t="shared" si="10"/>
        <v>245.06700000000001</v>
      </c>
      <c r="Y9" s="1">
        <f t="shared" si="10"/>
        <v>260.67399999999998</v>
      </c>
      <c r="Z9" s="1">
        <f t="shared" si="10"/>
        <v>268.89999999999998</v>
      </c>
      <c r="AA9" s="1">
        <f t="shared" si="10"/>
        <v>281.10000000000002</v>
      </c>
      <c r="AB9" s="1">
        <f t="shared" si="10"/>
        <v>295.2</v>
      </c>
      <c r="AC9" s="1">
        <f t="shared" ref="AC9:AM9" si="11">+SUM(AC7:AC8)</f>
        <v>306.09800000000001</v>
      </c>
      <c r="AD9" s="1">
        <f t="shared" si="11"/>
        <v>317.40462000000002</v>
      </c>
      <c r="AE9" s="1">
        <f t="shared" si="11"/>
        <v>329.13538579999999</v>
      </c>
      <c r="AF9" s="1">
        <f t="shared" si="11"/>
        <v>341.30641966200005</v>
      </c>
      <c r="AG9" s="1">
        <f t="shared" si="11"/>
        <v>353.93446343138004</v>
      </c>
      <c r="AH9" s="1">
        <f t="shared" si="11"/>
        <v>367.03690256102226</v>
      </c>
      <c r="AI9" s="1">
        <f t="shared" si="11"/>
        <v>380.6317910736218</v>
      </c>
      <c r="AJ9" s="1">
        <f t="shared" si="11"/>
        <v>394.73787749903005</v>
      </c>
      <c r="AK9" s="1">
        <f t="shared" si="11"/>
        <v>409.37463182492854</v>
      </c>
      <c r="AL9" s="1">
        <f t="shared" si="11"/>
        <v>424.56227350064108</v>
      </c>
      <c r="AM9" s="1">
        <f t="shared" si="11"/>
        <v>440.32180053546358</v>
      </c>
    </row>
    <row r="10" spans="1:39" x14ac:dyDescent="0.2">
      <c r="A10" s="1" t="s">
        <v>6</v>
      </c>
      <c r="J10" s="1">
        <f t="shared" ref="J10:Q10" si="12">+J6-J9</f>
        <v>241.3</v>
      </c>
      <c r="K10" s="1">
        <f t="shared" si="12"/>
        <v>248.7</v>
      </c>
      <c r="L10" s="1">
        <f t="shared" si="12"/>
        <v>254.29999999999998</v>
      </c>
      <c r="M10" s="1">
        <f t="shared" si="12"/>
        <v>256.29999999999984</v>
      </c>
      <c r="N10" s="1">
        <f t="shared" si="12"/>
        <v>258.89999999999998</v>
      </c>
      <c r="O10" s="1">
        <f t="shared" si="12"/>
        <v>266.2</v>
      </c>
      <c r="P10" s="1">
        <f t="shared" si="12"/>
        <v>269.3</v>
      </c>
      <c r="Q10" s="1">
        <f t="shared" si="12"/>
        <v>0</v>
      </c>
      <c r="W10" s="1">
        <f t="shared" ref="W10:AB10" si="13">+W6-W9</f>
        <v>767.39200000000005</v>
      </c>
      <c r="X10" s="1">
        <f t="shared" si="13"/>
        <v>806.12699999999995</v>
      </c>
      <c r="Y10" s="1">
        <f t="shared" si="13"/>
        <v>824.20100000000002</v>
      </c>
      <c r="Z10" s="1">
        <f t="shared" si="13"/>
        <v>866.79999999999984</v>
      </c>
      <c r="AA10" s="1">
        <f t="shared" si="13"/>
        <v>943.1</v>
      </c>
      <c r="AB10" s="1">
        <f t="shared" si="13"/>
        <v>1000.5999999999999</v>
      </c>
      <c r="AC10" s="1">
        <f t="shared" ref="AC10:AM10" si="14">+AC6-AC9</f>
        <v>1042.1713</v>
      </c>
      <c r="AD10" s="1">
        <f t="shared" si="14"/>
        <v>1098.278145</v>
      </c>
      <c r="AE10" s="1">
        <f t="shared" si="14"/>
        <v>1157.3315174500001</v>
      </c>
      <c r="AF10" s="1">
        <f t="shared" si="14"/>
        <v>1219.4838287505002</v>
      </c>
      <c r="AG10" s="1">
        <f t="shared" si="14"/>
        <v>1284.8952974017452</v>
      </c>
      <c r="AH10" s="1">
        <f t="shared" si="14"/>
        <v>1353.7343463137593</v>
      </c>
      <c r="AI10" s="1">
        <f t="shared" si="14"/>
        <v>1426.1780202448988</v>
      </c>
      <c r="AJ10" s="1">
        <f t="shared" si="14"/>
        <v>1502.4124243854169</v>
      </c>
      <c r="AK10" s="1">
        <f t="shared" si="14"/>
        <v>1582.6331851537407</v>
      </c>
      <c r="AL10" s="1">
        <f t="shared" si="14"/>
        <v>1667.045934326962</v>
      </c>
      <c r="AM10" s="1">
        <f t="shared" si="14"/>
        <v>1755.8668176835197</v>
      </c>
    </row>
    <row r="11" spans="1:39" x14ac:dyDescent="0.2">
      <c r="A11" s="1" t="s">
        <v>40</v>
      </c>
      <c r="J11" s="1">
        <v>-18.8</v>
      </c>
      <c r="K11" s="1">
        <v>-18.899999999999999</v>
      </c>
      <c r="L11" s="1">
        <v>-18.8</v>
      </c>
      <c r="M11" s="1">
        <f t="shared" ref="M11" si="15">+AB11-SUM(J11:L11)</f>
        <v>-18.799999999999997</v>
      </c>
      <c r="N11" s="1">
        <v>-18.8</v>
      </c>
      <c r="O11" s="1">
        <v>-18.8</v>
      </c>
      <c r="P11" s="1">
        <v>-18.899999999999999</v>
      </c>
      <c r="W11" s="1">
        <v>-114.845</v>
      </c>
      <c r="X11" s="1">
        <v>-90.611000000000004</v>
      </c>
      <c r="Y11" s="1">
        <v>-90.144000000000005</v>
      </c>
      <c r="Z11" s="1">
        <v>-83.3</v>
      </c>
      <c r="AA11" s="1">
        <v>-75.3</v>
      </c>
      <c r="AB11" s="1">
        <v>-75.3</v>
      </c>
      <c r="AC11" s="1">
        <f>+AB25*0.07</f>
        <v>-80.290000000000006</v>
      </c>
      <c r="AD11" s="1">
        <f t="shared" ref="AD11:AL11" si="16">+AC25*0.07</f>
        <v>-27.097964110000007</v>
      </c>
      <c r="AE11" s="1">
        <f t="shared" si="16"/>
        <v>32.138299893216995</v>
      </c>
      <c r="AF11" s="1">
        <f t="shared" si="16"/>
        <v>97.915980792296907</v>
      </c>
      <c r="AG11" s="1">
        <f t="shared" si="16"/>
        <v>170.76819026001357</v>
      </c>
      <c r="AH11" s="1">
        <f t="shared" si="16"/>
        <v>251.26638112770885</v>
      </c>
      <c r="AI11" s="1">
        <f t="shared" si="16"/>
        <v>340.02292135522202</v>
      </c>
      <c r="AJ11" s="1">
        <f t="shared" si="16"/>
        <v>437.69383342570876</v>
      </c>
      <c r="AK11" s="1">
        <f t="shared" si="16"/>
        <v>544.98170948266409</v>
      </c>
      <c r="AL11" s="1">
        <f t="shared" si="16"/>
        <v>662.63881315605727</v>
      </c>
      <c r="AM11" s="1">
        <f>+AL25*0.07</f>
        <v>791.47037969186829</v>
      </c>
    </row>
    <row r="12" spans="1:39" x14ac:dyDescent="0.2">
      <c r="A12" s="1" t="s">
        <v>7</v>
      </c>
      <c r="J12" s="1">
        <f t="shared" ref="J12:Q12" si="17">+J10+J11</f>
        <v>222.5</v>
      </c>
      <c r="K12" s="1">
        <f t="shared" si="17"/>
        <v>229.79999999999998</v>
      </c>
      <c r="L12" s="1">
        <f t="shared" si="17"/>
        <v>235.49999999999997</v>
      </c>
      <c r="M12" s="1">
        <f t="shared" si="17"/>
        <v>237.49999999999983</v>
      </c>
      <c r="N12" s="1">
        <f t="shared" si="17"/>
        <v>240.09999999999997</v>
      </c>
      <c r="O12" s="1">
        <f t="shared" si="17"/>
        <v>247.39999999999998</v>
      </c>
      <c r="P12" s="1">
        <f t="shared" si="17"/>
        <v>250.4</v>
      </c>
      <c r="Q12" s="1">
        <f t="shared" si="17"/>
        <v>0</v>
      </c>
      <c r="W12" s="1">
        <f t="shared" ref="W12:AB12" si="18">+W10+W11</f>
        <v>652.54700000000003</v>
      </c>
      <c r="X12" s="1">
        <f t="shared" si="18"/>
        <v>715.51599999999996</v>
      </c>
      <c r="Y12" s="1">
        <f t="shared" si="18"/>
        <v>734.05700000000002</v>
      </c>
      <c r="Z12" s="1">
        <f t="shared" si="18"/>
        <v>783.49999999999989</v>
      </c>
      <c r="AA12" s="1">
        <f t="shared" si="18"/>
        <v>867.80000000000007</v>
      </c>
      <c r="AB12" s="1">
        <f t="shared" si="18"/>
        <v>925.3</v>
      </c>
      <c r="AC12" s="1">
        <f t="shared" ref="AC12:AM12" si="19">+AC10+AC11</f>
        <v>961.88130000000001</v>
      </c>
      <c r="AD12" s="1">
        <f t="shared" si="19"/>
        <v>1071.18018089</v>
      </c>
      <c r="AE12" s="1">
        <f t="shared" si="19"/>
        <v>1189.4698173432171</v>
      </c>
      <c r="AF12" s="1">
        <f t="shared" si="19"/>
        <v>1317.3998095427971</v>
      </c>
      <c r="AG12" s="1">
        <f t="shared" si="19"/>
        <v>1455.6634876617588</v>
      </c>
      <c r="AH12" s="1">
        <f t="shared" si="19"/>
        <v>1605.0007274414681</v>
      </c>
      <c r="AI12" s="1">
        <f t="shared" si="19"/>
        <v>1766.2009416001208</v>
      </c>
      <c r="AJ12" s="1">
        <f t="shared" si="19"/>
        <v>1940.1062578111257</v>
      </c>
      <c r="AK12" s="1">
        <f t="shared" si="19"/>
        <v>2127.6148946364046</v>
      </c>
      <c r="AL12" s="1">
        <f t="shared" si="19"/>
        <v>2329.6847474830192</v>
      </c>
      <c r="AM12" s="1">
        <f t="shared" si="19"/>
        <v>2547.3371973753879</v>
      </c>
    </row>
    <row r="13" spans="1:39" x14ac:dyDescent="0.2">
      <c r="A13" s="1" t="s">
        <v>8</v>
      </c>
      <c r="J13" s="1">
        <v>55.1</v>
      </c>
      <c r="K13" s="1">
        <v>56.8</v>
      </c>
      <c r="L13" s="1">
        <v>60.1</v>
      </c>
      <c r="M13" s="1">
        <f>+AB13-SUM(J13:L13)</f>
        <v>-13.099999999999994</v>
      </c>
      <c r="N13" s="1">
        <v>59.9</v>
      </c>
      <c r="O13" s="1">
        <v>60.1</v>
      </c>
      <c r="P13" s="1">
        <v>59.6</v>
      </c>
      <c r="W13" s="1">
        <v>147.02699999999999</v>
      </c>
      <c r="X13" s="1">
        <v>146.477</v>
      </c>
      <c r="Y13" s="1">
        <v>-64.644000000000005</v>
      </c>
      <c r="Z13" s="1">
        <v>-2.6</v>
      </c>
      <c r="AA13" s="1">
        <v>206.4</v>
      </c>
      <c r="AB13" s="1">
        <v>158.9</v>
      </c>
      <c r="AC13" s="1">
        <f>+AC12*0.21</f>
        <v>201.99507299999999</v>
      </c>
      <c r="AD13" s="1">
        <f t="shared" ref="AD13:AM13" si="20">+AD12*0.21</f>
        <v>224.9478379869</v>
      </c>
      <c r="AE13" s="1">
        <f t="shared" si="20"/>
        <v>249.78866164207557</v>
      </c>
      <c r="AF13" s="1">
        <f t="shared" si="20"/>
        <v>276.65396000398738</v>
      </c>
      <c r="AG13" s="1">
        <f t="shared" si="20"/>
        <v>305.68933240896934</v>
      </c>
      <c r="AH13" s="1">
        <f t="shared" si="20"/>
        <v>337.05015276270831</v>
      </c>
      <c r="AI13" s="1">
        <f t="shared" si="20"/>
        <v>370.90219773602536</v>
      </c>
      <c r="AJ13" s="1">
        <f t="shared" si="20"/>
        <v>407.42231414033637</v>
      </c>
      <c r="AK13" s="1">
        <f t="shared" si="20"/>
        <v>446.79912787364498</v>
      </c>
      <c r="AL13" s="1">
        <f t="shared" si="20"/>
        <v>489.233796971434</v>
      </c>
      <c r="AM13" s="1">
        <f t="shared" si="20"/>
        <v>534.94081144883148</v>
      </c>
    </row>
    <row r="14" spans="1:39" x14ac:dyDescent="0.2">
      <c r="A14" s="1" t="s">
        <v>9</v>
      </c>
      <c r="J14" s="1">
        <f t="shared" ref="J14:Q14" si="21">+J12-J13</f>
        <v>167.4</v>
      </c>
      <c r="K14" s="1">
        <f t="shared" si="21"/>
        <v>173</v>
      </c>
      <c r="L14" s="1">
        <f t="shared" si="21"/>
        <v>175.39999999999998</v>
      </c>
      <c r="M14" s="1">
        <f t="shared" si="21"/>
        <v>250.59999999999982</v>
      </c>
      <c r="N14" s="1">
        <f t="shared" si="21"/>
        <v>180.19999999999996</v>
      </c>
      <c r="O14" s="1">
        <f t="shared" si="21"/>
        <v>187.29999999999998</v>
      </c>
      <c r="P14" s="1">
        <f t="shared" si="21"/>
        <v>190.8</v>
      </c>
      <c r="Q14" s="1">
        <f t="shared" si="21"/>
        <v>0</v>
      </c>
      <c r="W14" s="1">
        <f t="shared" ref="W14:AB14" si="22">+W12-W13</f>
        <v>505.52000000000004</v>
      </c>
      <c r="X14" s="1">
        <f t="shared" si="22"/>
        <v>569.03899999999999</v>
      </c>
      <c r="Y14" s="1">
        <f t="shared" si="22"/>
        <v>798.70100000000002</v>
      </c>
      <c r="Z14" s="1">
        <f t="shared" si="22"/>
        <v>786.09999999999991</v>
      </c>
      <c r="AA14" s="1">
        <f t="shared" si="22"/>
        <v>661.40000000000009</v>
      </c>
      <c r="AB14" s="1">
        <f t="shared" si="22"/>
        <v>766.4</v>
      </c>
      <c r="AC14" s="1">
        <f t="shared" ref="AC14:AM14" si="23">+AC12-AC13</f>
        <v>759.88622699999996</v>
      </c>
      <c r="AD14" s="1">
        <f t="shared" si="23"/>
        <v>846.23234290309995</v>
      </c>
      <c r="AE14" s="1">
        <f t="shared" si="23"/>
        <v>939.68115570114151</v>
      </c>
      <c r="AF14" s="1">
        <f t="shared" si="23"/>
        <v>1040.7458495388098</v>
      </c>
      <c r="AG14" s="1">
        <f t="shared" si="23"/>
        <v>1149.9741552527894</v>
      </c>
      <c r="AH14" s="1">
        <f t="shared" si="23"/>
        <v>1267.9505746787599</v>
      </c>
      <c r="AI14" s="1">
        <f t="shared" si="23"/>
        <v>1395.2987438640955</v>
      </c>
      <c r="AJ14" s="1">
        <f t="shared" si="23"/>
        <v>1532.6839436707894</v>
      </c>
      <c r="AK14" s="1">
        <f t="shared" si="23"/>
        <v>1680.8157667627597</v>
      </c>
      <c r="AL14" s="1">
        <f t="shared" si="23"/>
        <v>1840.4509505115852</v>
      </c>
      <c r="AM14" s="1">
        <f t="shared" si="23"/>
        <v>2012.3963859265564</v>
      </c>
    </row>
    <row r="15" spans="1:39" s="4" customFormat="1" x14ac:dyDescent="0.2">
      <c r="A15" s="4" t="s">
        <v>10</v>
      </c>
      <c r="J15" s="4">
        <f t="shared" ref="J15:P15" si="24">+J14/J16</f>
        <v>1.5942857142857143</v>
      </c>
      <c r="K15" s="4">
        <f t="shared" si="24"/>
        <v>1.6634615384615385</v>
      </c>
      <c r="L15" s="4">
        <f t="shared" si="24"/>
        <v>1.7029126213592232</v>
      </c>
      <c r="M15" s="4">
        <f t="shared" si="24"/>
        <v>2.4096153846153827</v>
      </c>
      <c r="N15" s="4">
        <f t="shared" si="24"/>
        <v>1.7859266600594643</v>
      </c>
      <c r="O15" s="4">
        <f t="shared" si="24"/>
        <v>1.8919191919191918</v>
      </c>
      <c r="P15" s="4">
        <f t="shared" si="24"/>
        <v>1.9609455292908533</v>
      </c>
      <c r="W15" s="4">
        <f t="shared" ref="W15:AB15" si="25">+W14/W16</f>
        <v>4.1212773416163246</v>
      </c>
      <c r="X15" s="4">
        <f t="shared" si="25"/>
        <v>4.7831265550400106</v>
      </c>
      <c r="Y15" s="4">
        <f t="shared" si="25"/>
        <v>6.9272754080729939</v>
      </c>
      <c r="Z15" s="4">
        <f t="shared" si="25"/>
        <v>7.0062388591800344</v>
      </c>
      <c r="AA15" s="4">
        <f t="shared" si="25"/>
        <v>6.3903381642512089</v>
      </c>
      <c r="AB15" s="4">
        <f t="shared" si="25"/>
        <v>7.8766700924974309</v>
      </c>
    </row>
    <row r="16" spans="1:39" x14ac:dyDescent="0.2">
      <c r="A16" s="1" t="s">
        <v>11</v>
      </c>
      <c r="J16" s="1">
        <v>105</v>
      </c>
      <c r="K16" s="1">
        <v>104</v>
      </c>
      <c r="L16" s="1">
        <v>103</v>
      </c>
      <c r="M16" s="1">
        <f>+AVERAGE(J16:L16)</f>
        <v>104</v>
      </c>
      <c r="N16" s="1">
        <v>100.9</v>
      </c>
      <c r="O16" s="1">
        <v>99</v>
      </c>
      <c r="P16" s="1">
        <v>97.3</v>
      </c>
      <c r="W16" s="1">
        <v>122.661</v>
      </c>
      <c r="X16" s="1">
        <v>118.968</v>
      </c>
      <c r="Y16" s="1">
        <v>115.298</v>
      </c>
      <c r="Z16" s="1">
        <v>112.2</v>
      </c>
      <c r="AA16" s="1">
        <v>103.5</v>
      </c>
      <c r="AB16" s="1">
        <v>97.3</v>
      </c>
    </row>
    <row r="18" spans="1:39" s="3" customFormat="1" x14ac:dyDescent="0.2">
      <c r="A18" s="3" t="s">
        <v>12</v>
      </c>
      <c r="J18" s="3">
        <f t="shared" ref="J18:P18" si="26">+J6/J4</f>
        <v>0.86306256860592756</v>
      </c>
      <c r="K18" s="3">
        <f t="shared" si="26"/>
        <v>0.8647849462365591</v>
      </c>
      <c r="L18" s="3">
        <f t="shared" si="26"/>
        <v>0.87084772787669407</v>
      </c>
      <c r="M18" s="3">
        <f t="shared" si="26"/>
        <v>0.87250262881177698</v>
      </c>
      <c r="N18" s="3">
        <f t="shared" si="26"/>
        <v>0.87223523289097049</v>
      </c>
      <c r="O18" s="3">
        <f t="shared" si="26"/>
        <v>0.87832601394988374</v>
      </c>
      <c r="P18" s="3">
        <f t="shared" si="26"/>
        <v>0.88018433179723499</v>
      </c>
      <c r="W18" s="3">
        <f t="shared" ref="W18:AB18" si="27">+W6/W4</f>
        <v>0.84186098575354595</v>
      </c>
      <c r="X18" s="3">
        <f t="shared" si="27"/>
        <v>0.85347672776843619</v>
      </c>
      <c r="Y18" s="3">
        <f t="shared" si="27"/>
        <v>0.85757344362128995</v>
      </c>
      <c r="Z18" s="3">
        <f t="shared" si="27"/>
        <v>0.85545344983428739</v>
      </c>
      <c r="AA18" s="3">
        <f t="shared" si="27"/>
        <v>0.85914801038669375</v>
      </c>
      <c r="AB18" s="3">
        <f t="shared" si="27"/>
        <v>0.86785881722590585</v>
      </c>
      <c r="AC18" s="3">
        <f t="shared" ref="AC18:AM18" si="28">+AC6/AC4</f>
        <v>0.86</v>
      </c>
      <c r="AD18" s="3">
        <f t="shared" si="28"/>
        <v>0.86</v>
      </c>
      <c r="AE18" s="3">
        <f t="shared" si="28"/>
        <v>0.86</v>
      </c>
      <c r="AF18" s="3">
        <f t="shared" si="28"/>
        <v>0.86</v>
      </c>
      <c r="AG18" s="3">
        <f t="shared" si="28"/>
        <v>0.86</v>
      </c>
      <c r="AH18" s="3">
        <f t="shared" si="28"/>
        <v>0.86</v>
      </c>
      <c r="AI18" s="3">
        <f t="shared" si="28"/>
        <v>0.85999999999999988</v>
      </c>
      <c r="AJ18" s="3">
        <f t="shared" si="28"/>
        <v>0.86</v>
      </c>
      <c r="AK18" s="3">
        <f t="shared" si="28"/>
        <v>0.86</v>
      </c>
      <c r="AL18" s="3">
        <f t="shared" si="28"/>
        <v>0.86</v>
      </c>
      <c r="AM18" s="3">
        <f t="shared" si="28"/>
        <v>0.86</v>
      </c>
    </row>
    <row r="19" spans="1:39" s="3" customFormat="1" x14ac:dyDescent="0.2">
      <c r="A19" s="3" t="s">
        <v>13</v>
      </c>
      <c r="J19" s="3">
        <f t="shared" ref="J19:P19" si="29">+J10/J4</f>
        <v>0.66218441273326023</v>
      </c>
      <c r="K19" s="3">
        <f t="shared" si="29"/>
        <v>0.66854838709677411</v>
      </c>
      <c r="L19" s="3">
        <f t="shared" si="29"/>
        <v>0.67579059261227736</v>
      </c>
      <c r="M19" s="3">
        <f t="shared" si="29"/>
        <v>0.67376445846477373</v>
      </c>
      <c r="N19" s="3">
        <f t="shared" si="29"/>
        <v>0.67369242779078842</v>
      </c>
      <c r="O19" s="3">
        <f t="shared" si="29"/>
        <v>0.68767760268664424</v>
      </c>
      <c r="P19" s="3">
        <f t="shared" si="29"/>
        <v>0.68945212493599595</v>
      </c>
      <c r="W19" s="3">
        <f t="shared" ref="W19:AB19" si="30">+W10/W4</f>
        <v>0.63161446917575681</v>
      </c>
      <c r="X19" s="3">
        <f t="shared" si="30"/>
        <v>0.65450395847558696</v>
      </c>
      <c r="Y19" s="3">
        <f t="shared" si="30"/>
        <v>0.65151551082485148</v>
      </c>
      <c r="Z19" s="3">
        <f t="shared" si="30"/>
        <v>0.65290750225971672</v>
      </c>
      <c r="AA19" s="3">
        <f t="shared" si="30"/>
        <v>0.66187100849182401</v>
      </c>
      <c r="AB19" s="3">
        <f t="shared" si="30"/>
        <v>0.67014935369365747</v>
      </c>
      <c r="AC19" s="3">
        <f t="shared" ref="AC19:AM19" si="31">+AC10/AC4</f>
        <v>0.66475393157731921</v>
      </c>
      <c r="AD19" s="3">
        <f t="shared" si="31"/>
        <v>0.66718280963178922</v>
      </c>
      <c r="AE19" s="3">
        <f t="shared" si="31"/>
        <v>0.66957770995833976</v>
      </c>
      <c r="AF19" s="3">
        <f t="shared" si="31"/>
        <v>0.67193916273639809</v>
      </c>
      <c r="AG19" s="3">
        <f t="shared" si="31"/>
        <v>0.67426768916116797</v>
      </c>
      <c r="AH19" s="3">
        <f t="shared" si="31"/>
        <v>0.67656380160414409</v>
      </c>
      <c r="AI19" s="3">
        <f t="shared" si="31"/>
        <v>0.67882800377067032</v>
      </c>
      <c r="AJ19" s="3">
        <f t="shared" si="31"/>
        <v>0.68106079085459692</v>
      </c>
      <c r="AK19" s="3">
        <f t="shared" si="31"/>
        <v>0.68326264969008976</v>
      </c>
      <c r="AL19" s="3">
        <f t="shared" si="31"/>
        <v>0.68543405890064957</v>
      </c>
      <c r="AM19" s="3">
        <f t="shared" si="31"/>
        <v>0.68757548904538557</v>
      </c>
    </row>
    <row r="20" spans="1:39" s="3" customFormat="1" x14ac:dyDescent="0.2">
      <c r="A20" s="3" t="s">
        <v>14</v>
      </c>
      <c r="J20" s="3">
        <f t="shared" ref="J20:P20" si="32">+J14/J4</f>
        <v>0.45938529088913288</v>
      </c>
      <c r="K20" s="3">
        <f t="shared" si="32"/>
        <v>0.46505376344086019</v>
      </c>
      <c r="L20" s="3">
        <f t="shared" si="32"/>
        <v>0.46611745947382399</v>
      </c>
      <c r="M20" s="3">
        <f t="shared" si="32"/>
        <v>0.65878023133543617</v>
      </c>
      <c r="N20" s="3">
        <f t="shared" si="32"/>
        <v>0.46890450169138681</v>
      </c>
      <c r="O20" s="3">
        <f t="shared" si="32"/>
        <v>0.48385430121415646</v>
      </c>
      <c r="P20" s="3">
        <f t="shared" si="32"/>
        <v>0.48847926267281105</v>
      </c>
      <c r="W20" s="3">
        <f t="shared" ref="W20:AB20" si="33">+W14/W4</f>
        <v>0.41607645956398887</v>
      </c>
      <c r="X20" s="3">
        <f t="shared" si="33"/>
        <v>0.46200943279035378</v>
      </c>
      <c r="Y20" s="3">
        <f t="shared" si="33"/>
        <v>0.63135823665746549</v>
      </c>
      <c r="Z20" s="3">
        <f t="shared" si="33"/>
        <v>0.59212112081952395</v>
      </c>
      <c r="AA20" s="3">
        <f t="shared" si="33"/>
        <v>0.46417292441574853</v>
      </c>
      <c r="AB20" s="3">
        <f t="shared" si="33"/>
        <v>0.51329448797803234</v>
      </c>
      <c r="AC20" s="3">
        <f t="shared" ref="AC20:AM20" si="34">+AC14/AC4</f>
        <v>0.48469705215419501</v>
      </c>
      <c r="AD20" s="3">
        <f t="shared" si="34"/>
        <v>0.51406984169696091</v>
      </c>
      <c r="AE20" s="3">
        <f t="shared" si="34"/>
        <v>0.54365542356584029</v>
      </c>
      <c r="AF20" s="3">
        <f t="shared" si="34"/>
        <v>0.57345401248741434</v>
      </c>
      <c r="AG20" s="3">
        <f t="shared" si="34"/>
        <v>0.60346583711943103</v>
      </c>
      <c r="AH20" s="3">
        <f t="shared" si="34"/>
        <v>0.63369113990995285</v>
      </c>
      <c r="AI20" s="3">
        <f t="shared" si="34"/>
        <v>0.66413017695949561</v>
      </c>
      <c r="AJ20" s="3">
        <f t="shared" si="34"/>
        <v>0.69478321788610886</v>
      </c>
      <c r="AK20" s="3">
        <f t="shared" si="34"/>
        <v>0.72565054569334153</v>
      </c>
      <c r="AL20" s="3">
        <f t="shared" si="34"/>
        <v>0.75673245664104871</v>
      </c>
      <c r="AM20" s="3">
        <f t="shared" si="34"/>
        <v>0.78802926011898367</v>
      </c>
    </row>
    <row r="21" spans="1:39" s="3" customFormat="1" x14ac:dyDescent="0.2">
      <c r="A21" s="3" t="s">
        <v>15</v>
      </c>
      <c r="J21" s="3">
        <f>+J13/J12</f>
        <v>0.24764044943820226</v>
      </c>
      <c r="K21" s="3">
        <f>+K13/K12</f>
        <v>0.24717145343777197</v>
      </c>
      <c r="L21" s="3">
        <f>+L13/L12</f>
        <v>0.25520169851380048</v>
      </c>
      <c r="N21" s="3">
        <f>+N13/N12</f>
        <v>0.2494793835901708</v>
      </c>
      <c r="O21" s="3">
        <f>+O13/O12</f>
        <v>0.24292643492320132</v>
      </c>
      <c r="P21" s="3">
        <f>+P13/P12</f>
        <v>0.23801916932907349</v>
      </c>
      <c r="W21" s="3">
        <f t="shared" ref="W21:AB21" si="35">+W13/W12</f>
        <v>0.22531250622560517</v>
      </c>
      <c r="X21" s="3">
        <f t="shared" si="35"/>
        <v>0.20471519854203121</v>
      </c>
      <c r="Y21" s="3">
        <f t="shared" si="35"/>
        <v>-8.8064005928694913E-2</v>
      </c>
      <c r="Z21" s="3">
        <f t="shared" si="35"/>
        <v>-3.3184428844926618E-3</v>
      </c>
      <c r="AA21" s="3">
        <f t="shared" si="35"/>
        <v>0.23784282092648074</v>
      </c>
      <c r="AB21" s="3">
        <f t="shared" si="35"/>
        <v>0.17172808818761484</v>
      </c>
    </row>
    <row r="22" spans="1:39" s="3" customFormat="1" x14ac:dyDescent="0.2"/>
    <row r="23" spans="1:39" s="11" customFormat="1" x14ac:dyDescent="0.2">
      <c r="A23" s="11" t="s">
        <v>16</v>
      </c>
      <c r="J23" s="11" t="e">
        <f t="shared" ref="J23:P23" si="36">+J4/F4-1</f>
        <v>#DIV/0!</v>
      </c>
      <c r="K23" s="11" t="e">
        <f t="shared" si="36"/>
        <v>#DIV/0!</v>
      </c>
      <c r="L23" s="11" t="e">
        <f t="shared" si="36"/>
        <v>#DIV/0!</v>
      </c>
      <c r="M23" s="11" t="e">
        <f t="shared" si="36"/>
        <v>#DIV/0!</v>
      </c>
      <c r="N23" s="11">
        <f t="shared" si="36"/>
        <v>5.4610318331503871E-2</v>
      </c>
      <c r="O23" s="11">
        <f t="shared" si="36"/>
        <v>4.0591397849462529E-2</v>
      </c>
      <c r="P23" s="11">
        <f t="shared" si="36"/>
        <v>3.8001594472495404E-2</v>
      </c>
      <c r="W23" s="11" t="e">
        <f t="shared" ref="W23:AB23" si="37">+W4/V4-1</f>
        <v>#DIV/0!</v>
      </c>
      <c r="X23" s="11">
        <f t="shared" si="37"/>
        <v>1.3738622137684287E-2</v>
      </c>
      <c r="Y23" s="11">
        <f t="shared" si="37"/>
        <v>2.7110544216306209E-2</v>
      </c>
      <c r="Z23" s="11">
        <f t="shared" si="37"/>
        <v>4.9443026847908245E-2</v>
      </c>
      <c r="AA23" s="11">
        <f t="shared" si="37"/>
        <v>7.3290147634829994E-2</v>
      </c>
      <c r="AB23" s="11">
        <f t="shared" si="37"/>
        <v>4.7863007930381007E-2</v>
      </c>
      <c r="AC23" s="11">
        <f t="shared" ref="AC23:AM23" si="38">+AC4/AB4-1</f>
        <v>5.0000000000000044E-2</v>
      </c>
      <c r="AD23" s="11">
        <f t="shared" si="38"/>
        <v>5.0000000000000044E-2</v>
      </c>
      <c r="AE23" s="11">
        <f t="shared" si="38"/>
        <v>5.0000000000000044E-2</v>
      </c>
      <c r="AF23" s="11">
        <f t="shared" si="38"/>
        <v>5.0000000000000044E-2</v>
      </c>
      <c r="AG23" s="11">
        <f t="shared" si="38"/>
        <v>5.0000000000000044E-2</v>
      </c>
      <c r="AH23" s="11">
        <f t="shared" si="38"/>
        <v>5.0000000000000044E-2</v>
      </c>
      <c r="AI23" s="11">
        <f t="shared" si="38"/>
        <v>5.0000000000000044E-2</v>
      </c>
      <c r="AJ23" s="11">
        <f t="shared" si="38"/>
        <v>5.0000000000000044E-2</v>
      </c>
      <c r="AK23" s="11">
        <f t="shared" si="38"/>
        <v>5.0000000000000044E-2</v>
      </c>
      <c r="AL23" s="11">
        <f t="shared" si="38"/>
        <v>5.0000000000000044E-2</v>
      </c>
      <c r="AM23" s="11">
        <f t="shared" si="38"/>
        <v>5.0000000000000044E-2</v>
      </c>
    </row>
    <row r="25" spans="1:39" x14ac:dyDescent="0.2">
      <c r="A25" s="1" t="s">
        <v>41</v>
      </c>
      <c r="N25" s="1">
        <f>+N26-N37</f>
        <v>-866.00000000000011</v>
      </c>
      <c r="O25" s="1">
        <f>+O26-O37</f>
        <v>-1101.4000000000001</v>
      </c>
      <c r="P25" s="1">
        <f>+P26-P37</f>
        <v>-1147</v>
      </c>
      <c r="AA25" s="3"/>
      <c r="AB25" s="1">
        <f>+P25</f>
        <v>-1147</v>
      </c>
      <c r="AC25" s="1">
        <f>+AB25+AC14</f>
        <v>-387.11377300000004</v>
      </c>
      <c r="AD25" s="1">
        <f t="shared" ref="AD25:AM25" si="39">+AC25+AD14</f>
        <v>459.11856990309991</v>
      </c>
      <c r="AE25" s="1">
        <f t="shared" si="39"/>
        <v>1398.7997256042413</v>
      </c>
      <c r="AF25" s="1">
        <f t="shared" si="39"/>
        <v>2439.5455751430509</v>
      </c>
      <c r="AG25" s="1">
        <f t="shared" si="39"/>
        <v>3589.5197303958403</v>
      </c>
      <c r="AH25" s="1">
        <f t="shared" si="39"/>
        <v>4857.4703050746002</v>
      </c>
      <c r="AI25" s="1">
        <f t="shared" si="39"/>
        <v>6252.769048938696</v>
      </c>
      <c r="AJ25" s="1">
        <f t="shared" si="39"/>
        <v>7785.4529926094856</v>
      </c>
      <c r="AK25" s="1">
        <f t="shared" si="39"/>
        <v>9466.2687593722458</v>
      </c>
      <c r="AL25" s="1">
        <f t="shared" si="39"/>
        <v>11306.719709883831</v>
      </c>
      <c r="AM25" s="1">
        <f t="shared" si="39"/>
        <v>13319.116095810388</v>
      </c>
    </row>
    <row r="26" spans="1:39" x14ac:dyDescent="0.2">
      <c r="A26" s="1" t="s">
        <v>35</v>
      </c>
      <c r="N26" s="1">
        <f>731.8+192.9</f>
        <v>924.69999999999993</v>
      </c>
      <c r="O26" s="1">
        <f>252.2+437.7</f>
        <v>689.9</v>
      </c>
      <c r="P26" s="1">
        <f>267.3+377.6</f>
        <v>644.90000000000009</v>
      </c>
    </row>
    <row r="27" spans="1:39" x14ac:dyDescent="0.2">
      <c r="A27" s="1" t="s">
        <v>42</v>
      </c>
      <c r="N27" s="1">
        <v>63.6</v>
      </c>
      <c r="O27" s="1">
        <v>71.3</v>
      </c>
      <c r="P27" s="1">
        <v>72.5</v>
      </c>
    </row>
    <row r="28" spans="1:39" x14ac:dyDescent="0.2">
      <c r="A28" s="1" t="s">
        <v>43</v>
      </c>
      <c r="N28" s="1">
        <v>227.2</v>
      </c>
      <c r="O28" s="1">
        <v>227.8</v>
      </c>
      <c r="P28" s="1">
        <v>224.8</v>
      </c>
    </row>
    <row r="29" spans="1:39" x14ac:dyDescent="0.2">
      <c r="A29" s="1" t="s">
        <v>44</v>
      </c>
      <c r="N29" s="1">
        <v>52.5</v>
      </c>
      <c r="O29" s="1">
        <v>52.5</v>
      </c>
      <c r="P29" s="1">
        <v>52.5</v>
      </c>
    </row>
    <row r="30" spans="1:39" x14ac:dyDescent="0.2">
      <c r="A30" s="1" t="s">
        <v>45</v>
      </c>
      <c r="N30" s="1">
        <v>283.2</v>
      </c>
      <c r="O30" s="1">
        <v>279.8</v>
      </c>
      <c r="P30" s="1">
        <v>285.7</v>
      </c>
    </row>
    <row r="31" spans="1:39" x14ac:dyDescent="0.2">
      <c r="A31" s="1" t="s">
        <v>46</v>
      </c>
      <c r="N31" s="1">
        <v>145</v>
      </c>
      <c r="O31" s="1">
        <v>145</v>
      </c>
      <c r="P31" s="1">
        <v>145</v>
      </c>
    </row>
    <row r="32" spans="1:39" x14ac:dyDescent="0.2">
      <c r="A32" s="1" t="s">
        <v>47</v>
      </c>
      <c r="N32" s="1">
        <v>31.6</v>
      </c>
      <c r="O32" s="1">
        <v>38.799999999999997</v>
      </c>
      <c r="P32" s="1">
        <v>36.6</v>
      </c>
    </row>
    <row r="33" spans="1:16" x14ac:dyDescent="0.2">
      <c r="A33" s="1" t="s">
        <v>48</v>
      </c>
      <c r="N33" s="1">
        <f>+SUM(N26:N32)</f>
        <v>1727.8</v>
      </c>
      <c r="O33" s="1">
        <f>+SUM(O26:O32)</f>
        <v>1505.1</v>
      </c>
      <c r="P33" s="1">
        <f>+SUM(P26:P32)</f>
        <v>1462</v>
      </c>
    </row>
    <row r="35" spans="1:16" x14ac:dyDescent="0.2">
      <c r="A35" s="1" t="s">
        <v>49</v>
      </c>
      <c r="N35" s="1">
        <v>249.9</v>
      </c>
      <c r="O35" s="1">
        <v>224.2</v>
      </c>
      <c r="P35" s="1">
        <v>255.5</v>
      </c>
    </row>
    <row r="36" spans="1:16" x14ac:dyDescent="0.2">
      <c r="A36" s="1" t="s">
        <v>50</v>
      </c>
      <c r="N36" s="1">
        <f>964+320.8</f>
        <v>1284.8</v>
      </c>
      <c r="O36" s="1">
        <f>967.1+321.6</f>
        <v>1288.7</v>
      </c>
      <c r="P36" s="1">
        <f>971+328</f>
        <v>1299</v>
      </c>
    </row>
    <row r="37" spans="1:16" x14ac:dyDescent="0.2">
      <c r="A37" s="1" t="s">
        <v>36</v>
      </c>
      <c r="N37" s="1">
        <v>1790.7</v>
      </c>
      <c r="O37" s="1">
        <v>1791.3</v>
      </c>
      <c r="P37" s="1">
        <f>299.7+1492.2</f>
        <v>1791.9</v>
      </c>
    </row>
    <row r="38" spans="1:16" x14ac:dyDescent="0.2">
      <c r="A38" s="1" t="s">
        <v>51</v>
      </c>
      <c r="N38" s="1">
        <v>38.1</v>
      </c>
      <c r="O38" s="1">
        <v>17.3</v>
      </c>
      <c r="P38" s="1">
        <v>16.2</v>
      </c>
    </row>
    <row r="39" spans="1:16" x14ac:dyDescent="0.2">
      <c r="A39" s="1" t="s">
        <v>52</v>
      </c>
      <c r="N39" s="1">
        <f>+SUM(N35:N38)</f>
        <v>3363.5</v>
      </c>
      <c r="O39" s="1">
        <f>+SUM(O35:O38)</f>
        <v>3321.5</v>
      </c>
      <c r="P39" s="1">
        <f>+SUM(P35:P38)</f>
        <v>3362.6</v>
      </c>
    </row>
    <row r="40" spans="1:16" x14ac:dyDescent="0.2">
      <c r="A40" s="1" t="s">
        <v>53</v>
      </c>
      <c r="N40" s="1">
        <v>-1635.7</v>
      </c>
      <c r="O40" s="1">
        <v>-1816.4</v>
      </c>
      <c r="P40" s="1">
        <v>-1900.6</v>
      </c>
    </row>
    <row r="41" spans="1:16" x14ac:dyDescent="0.2">
      <c r="A41" s="1" t="s">
        <v>54</v>
      </c>
      <c r="N41" s="1">
        <f>+N40+N39</f>
        <v>1727.8</v>
      </c>
      <c r="O41" s="1">
        <f>+O40+O39</f>
        <v>1505.1</v>
      </c>
      <c r="P41" s="1">
        <f>+P40+P39</f>
        <v>1462</v>
      </c>
    </row>
    <row r="43" spans="1:16" x14ac:dyDescent="0.2">
      <c r="A43" s="1" t="s">
        <v>55</v>
      </c>
      <c r="N43" s="1">
        <f>+N14</f>
        <v>180.19999999999996</v>
      </c>
      <c r="O43" s="1">
        <f>+O14</f>
        <v>187.29999999999998</v>
      </c>
      <c r="P43" s="1">
        <f>+P14</f>
        <v>190.8</v>
      </c>
    </row>
    <row r="44" spans="1:16" x14ac:dyDescent="0.2">
      <c r="A44" s="1" t="s">
        <v>56</v>
      </c>
      <c r="N44" s="1">
        <v>194.1</v>
      </c>
      <c r="O44" s="1">
        <f>392.9-N44</f>
        <v>198.79999999999998</v>
      </c>
      <c r="P44" s="1">
        <f>594.2-SUM(N44:O44)</f>
        <v>201.30000000000007</v>
      </c>
    </row>
    <row r="45" spans="1:16" x14ac:dyDescent="0.2">
      <c r="A45" s="1" t="s">
        <v>57</v>
      </c>
      <c r="N45" s="1">
        <v>9.8000000000000007</v>
      </c>
      <c r="O45" s="1">
        <f>19.1-N45</f>
        <v>9.3000000000000007</v>
      </c>
      <c r="P45" s="1">
        <f>28.1-SUM(N45:O45)</f>
        <v>9</v>
      </c>
    </row>
    <row r="46" spans="1:16" x14ac:dyDescent="0.2">
      <c r="A46" s="1" t="s">
        <v>58</v>
      </c>
      <c r="N46" s="1">
        <v>15.1</v>
      </c>
      <c r="O46" s="1">
        <f>29.4-N46</f>
        <v>14.299999999999999</v>
      </c>
      <c r="P46" s="1">
        <f>45.2-SUM(N46:O46)</f>
        <v>15.800000000000004</v>
      </c>
    </row>
    <row r="47" spans="1:16" x14ac:dyDescent="0.2">
      <c r="A47" s="1" t="s">
        <v>59</v>
      </c>
      <c r="N47" s="1">
        <v>-7</v>
      </c>
      <c r="O47" s="1">
        <f>-11.1-N47</f>
        <v>-4.0999999999999996</v>
      </c>
      <c r="P47" s="1">
        <f>-16.6-SUM(N47:O47)</f>
        <v>-5.5000000000000018</v>
      </c>
    </row>
    <row r="48" spans="1:16" x14ac:dyDescent="0.2">
      <c r="A48" s="1" t="s">
        <v>47</v>
      </c>
      <c r="N48" s="1">
        <v>1</v>
      </c>
      <c r="O48" s="1">
        <f>1.6-N48</f>
        <v>0.60000000000000009</v>
      </c>
      <c r="P48" s="1">
        <f>2.1-SUM(N48:O48)</f>
        <v>0.5</v>
      </c>
    </row>
    <row r="49" spans="1:140" x14ac:dyDescent="0.2">
      <c r="A49" s="1" t="s">
        <v>60</v>
      </c>
      <c r="N49" s="1">
        <v>-4.0999999999999996</v>
      </c>
      <c r="O49" s="1">
        <f>-19.2-N49</f>
        <v>-15.1</v>
      </c>
      <c r="P49" s="1">
        <f>-18.2-SUM(N49:O49)</f>
        <v>1</v>
      </c>
    </row>
    <row r="50" spans="1:140" x14ac:dyDescent="0.2">
      <c r="A50" s="1" t="s">
        <v>61</v>
      </c>
      <c r="N50" s="1">
        <v>-8</v>
      </c>
      <c r="O50" s="1">
        <f>-58.8-N50</f>
        <v>-50.8</v>
      </c>
      <c r="P50" s="1">
        <f>-31.9-SUM(N50:O50)</f>
        <v>26.9</v>
      </c>
    </row>
    <row r="51" spans="1:140" x14ac:dyDescent="0.2">
      <c r="A51" s="1" t="s">
        <v>50</v>
      </c>
      <c r="N51" s="1">
        <v>38.6</v>
      </c>
      <c r="O51" s="1">
        <f>42.6-N51</f>
        <v>4</v>
      </c>
      <c r="P51" s="1">
        <f>52.9-SUM(N51:O51)</f>
        <v>10.299999999999997</v>
      </c>
    </row>
    <row r="52" spans="1:140" x14ac:dyDescent="0.2">
      <c r="A52" s="1" t="s">
        <v>45</v>
      </c>
      <c r="N52" s="1">
        <v>17.8</v>
      </c>
      <c r="O52" s="1">
        <f>21.2-N52</f>
        <v>3.3999999999999986</v>
      </c>
      <c r="P52" s="1">
        <f>15.3-SUM(N52:O52)</f>
        <v>-5.8999999999999986</v>
      </c>
    </row>
    <row r="53" spans="1:140" s="9" customFormat="1" x14ac:dyDescent="0.2">
      <c r="A53" s="9" t="s">
        <v>62</v>
      </c>
      <c r="N53" s="9">
        <f>+SUM(N44:N52)</f>
        <v>257.3</v>
      </c>
      <c r="O53" s="9">
        <f>+SUM(O44:O52)</f>
        <v>160.4</v>
      </c>
      <c r="P53" s="9">
        <f>+SUM(P44:P52)</f>
        <v>253.40000000000006</v>
      </c>
      <c r="Q53" s="9">
        <f>+AC53-SUM(N53:P53)</f>
        <v>225.38999999999987</v>
      </c>
      <c r="W53" s="9">
        <v>697.76700000000005</v>
      </c>
      <c r="X53" s="9">
        <v>753.89200000000005</v>
      </c>
      <c r="Y53" s="9">
        <v>730.18299999999999</v>
      </c>
      <c r="Z53" s="9">
        <v>807.2</v>
      </c>
      <c r="AA53" s="9">
        <v>831</v>
      </c>
      <c r="AB53" s="9">
        <v>853.8</v>
      </c>
      <c r="AC53" s="9">
        <f>+AB53*1.05</f>
        <v>896.49</v>
      </c>
      <c r="AD53" s="9">
        <f t="shared" ref="AD53:AM53" si="40">+AC53*1.05</f>
        <v>941.31450000000007</v>
      </c>
      <c r="AE53" s="9">
        <f t="shared" si="40"/>
        <v>988.38022500000011</v>
      </c>
      <c r="AF53" s="9">
        <f t="shared" si="40"/>
        <v>1037.7992362500001</v>
      </c>
      <c r="AG53" s="9">
        <f t="shared" si="40"/>
        <v>1089.6891980625003</v>
      </c>
      <c r="AH53" s="9">
        <f t="shared" si="40"/>
        <v>1144.1736579656254</v>
      </c>
      <c r="AI53" s="9">
        <f t="shared" si="40"/>
        <v>1201.3823408639066</v>
      </c>
      <c r="AJ53" s="9">
        <f t="shared" si="40"/>
        <v>1261.4514579071019</v>
      </c>
      <c r="AK53" s="9">
        <f t="shared" si="40"/>
        <v>1324.524030802457</v>
      </c>
      <c r="AL53" s="9">
        <f t="shared" si="40"/>
        <v>1390.7502323425799</v>
      </c>
      <c r="AM53" s="9">
        <f t="shared" si="40"/>
        <v>1460.2877439597089</v>
      </c>
      <c r="AN53" s="9">
        <f>+AM53*(1+$AP$57)</f>
        <v>1445.6848665201119</v>
      </c>
      <c r="AO53" s="9">
        <f t="shared" ref="AO53:CZ53" si="41">+AN53*(1+$AP$57)</f>
        <v>1431.2280178549108</v>
      </c>
      <c r="AP53" s="9">
        <f t="shared" si="41"/>
        <v>1416.9157376763617</v>
      </c>
      <c r="AQ53" s="9">
        <f t="shared" si="41"/>
        <v>1402.746580299598</v>
      </c>
      <c r="AR53" s="9">
        <f t="shared" si="41"/>
        <v>1388.7191144966021</v>
      </c>
      <c r="AS53" s="9">
        <f t="shared" si="41"/>
        <v>1374.8319233516361</v>
      </c>
      <c r="AT53" s="9">
        <f t="shared" si="41"/>
        <v>1361.0836041181196</v>
      </c>
      <c r="AU53" s="9">
        <f t="shared" si="41"/>
        <v>1347.4727680769383</v>
      </c>
      <c r="AV53" s="9">
        <f t="shared" si="41"/>
        <v>1333.998040396169</v>
      </c>
      <c r="AW53" s="9">
        <f t="shared" si="41"/>
        <v>1320.6580599922074</v>
      </c>
      <c r="AX53" s="9">
        <f t="shared" si="41"/>
        <v>1307.4514793922854</v>
      </c>
      <c r="AY53" s="9">
        <f t="shared" si="41"/>
        <v>1294.3769645983625</v>
      </c>
      <c r="AZ53" s="9">
        <f t="shared" si="41"/>
        <v>1281.4331949523789</v>
      </c>
      <c r="BA53" s="9">
        <f t="shared" si="41"/>
        <v>1268.6188630028551</v>
      </c>
      <c r="BB53" s="9">
        <f t="shared" si="41"/>
        <v>1255.9326743728266</v>
      </c>
      <c r="BC53" s="9">
        <f t="shared" si="41"/>
        <v>1243.3733476290984</v>
      </c>
      <c r="BD53" s="9">
        <f t="shared" si="41"/>
        <v>1230.9396141528073</v>
      </c>
      <c r="BE53" s="9">
        <f t="shared" si="41"/>
        <v>1218.6302180112791</v>
      </c>
      <c r="BF53" s="9">
        <f t="shared" si="41"/>
        <v>1206.4439158311664</v>
      </c>
      <c r="BG53" s="9">
        <f t="shared" si="41"/>
        <v>1194.3794766728547</v>
      </c>
      <c r="BH53" s="9">
        <f t="shared" si="41"/>
        <v>1182.4356819061261</v>
      </c>
      <c r="BI53" s="9">
        <f t="shared" si="41"/>
        <v>1170.6113250870649</v>
      </c>
      <c r="BJ53" s="9">
        <f t="shared" si="41"/>
        <v>1158.9052118361942</v>
      </c>
      <c r="BK53" s="9">
        <f t="shared" si="41"/>
        <v>1147.3161597178323</v>
      </c>
      <c r="BL53" s="9">
        <f t="shared" si="41"/>
        <v>1135.8429981206539</v>
      </c>
      <c r="BM53" s="9">
        <f t="shared" si="41"/>
        <v>1124.4845681394472</v>
      </c>
      <c r="BN53" s="9">
        <f t="shared" si="41"/>
        <v>1113.2397224580527</v>
      </c>
      <c r="BO53" s="9">
        <f t="shared" si="41"/>
        <v>1102.1073252334722</v>
      </c>
      <c r="BP53" s="9">
        <f t="shared" si="41"/>
        <v>1091.0862519811376</v>
      </c>
      <c r="BQ53" s="9">
        <f t="shared" si="41"/>
        <v>1080.1753894613262</v>
      </c>
      <c r="BR53" s="9">
        <f t="shared" si="41"/>
        <v>1069.3736355667129</v>
      </c>
      <c r="BS53" s="9">
        <f t="shared" si="41"/>
        <v>1058.6798992110457</v>
      </c>
      <c r="BT53" s="9">
        <f t="shared" si="41"/>
        <v>1048.0931002189352</v>
      </c>
      <c r="BU53" s="9">
        <f t="shared" si="41"/>
        <v>1037.6121692167458</v>
      </c>
      <c r="BV53" s="9">
        <f t="shared" si="41"/>
        <v>1027.2360475245782</v>
      </c>
      <c r="BW53" s="9">
        <f t="shared" si="41"/>
        <v>1016.9636870493324</v>
      </c>
      <c r="BX53" s="9">
        <f t="shared" si="41"/>
        <v>1006.794050178839</v>
      </c>
      <c r="BY53" s="9">
        <f t="shared" si="41"/>
        <v>996.72610967705066</v>
      </c>
      <c r="BZ53" s="9">
        <f t="shared" si="41"/>
        <v>986.75884858028019</v>
      </c>
      <c r="CA53" s="9">
        <f t="shared" si="41"/>
        <v>976.89126009447739</v>
      </c>
      <c r="CB53" s="9">
        <f t="shared" si="41"/>
        <v>967.12234749353263</v>
      </c>
      <c r="CC53" s="9">
        <f t="shared" si="41"/>
        <v>957.45112401859728</v>
      </c>
      <c r="CD53" s="9">
        <f t="shared" si="41"/>
        <v>947.8766127784113</v>
      </c>
      <c r="CE53" s="9">
        <f t="shared" si="41"/>
        <v>938.39784665062723</v>
      </c>
      <c r="CF53" s="9">
        <f t="shared" si="41"/>
        <v>929.01386818412095</v>
      </c>
      <c r="CG53" s="9">
        <f t="shared" si="41"/>
        <v>919.72372950227975</v>
      </c>
      <c r="CH53" s="9">
        <f t="shared" si="41"/>
        <v>910.52649220725698</v>
      </c>
      <c r="CI53" s="9">
        <f t="shared" si="41"/>
        <v>901.42122728518439</v>
      </c>
      <c r="CJ53" s="9">
        <f t="shared" si="41"/>
        <v>892.40701501233252</v>
      </c>
      <c r="CK53" s="9">
        <f t="shared" si="41"/>
        <v>883.48294486220914</v>
      </c>
      <c r="CL53" s="9">
        <f t="shared" si="41"/>
        <v>874.64811541358699</v>
      </c>
      <c r="CM53" s="9">
        <f t="shared" si="41"/>
        <v>865.90163425945116</v>
      </c>
      <c r="CN53" s="9">
        <f t="shared" si="41"/>
        <v>857.2426179168566</v>
      </c>
      <c r="CO53" s="9">
        <f t="shared" si="41"/>
        <v>848.67019173768801</v>
      </c>
      <c r="CP53" s="9">
        <f t="shared" si="41"/>
        <v>840.18348982031114</v>
      </c>
      <c r="CQ53" s="9">
        <f t="shared" si="41"/>
        <v>831.78165492210803</v>
      </c>
      <c r="CR53" s="9">
        <f t="shared" si="41"/>
        <v>823.46383837288693</v>
      </c>
      <c r="CS53" s="9">
        <f t="shared" si="41"/>
        <v>815.22919998915802</v>
      </c>
      <c r="CT53" s="9">
        <f t="shared" si="41"/>
        <v>807.07690798926649</v>
      </c>
      <c r="CU53" s="9">
        <f t="shared" si="41"/>
        <v>799.00613890937382</v>
      </c>
      <c r="CV53" s="9">
        <f t="shared" si="41"/>
        <v>791.01607752028008</v>
      </c>
      <c r="CW53" s="9">
        <f t="shared" si="41"/>
        <v>783.10591674507725</v>
      </c>
      <c r="CX53" s="9">
        <f t="shared" si="41"/>
        <v>775.27485757762645</v>
      </c>
      <c r="CY53" s="9">
        <f t="shared" si="41"/>
        <v>767.52210900185014</v>
      </c>
      <c r="CZ53" s="9">
        <f t="shared" si="41"/>
        <v>759.84688791183169</v>
      </c>
      <c r="DA53" s="9">
        <f t="shared" ref="DA53:EJ53" si="42">+CZ53*(1+$AP$57)</f>
        <v>752.2484190327134</v>
      </c>
      <c r="DB53" s="9">
        <f t="shared" si="42"/>
        <v>744.72593484238621</v>
      </c>
      <c r="DC53" s="9">
        <f t="shared" si="42"/>
        <v>737.2786754939624</v>
      </c>
      <c r="DD53" s="9">
        <f t="shared" si="42"/>
        <v>729.90588873902277</v>
      </c>
      <c r="DE53" s="9">
        <f t="shared" si="42"/>
        <v>722.60682985163248</v>
      </c>
      <c r="DF53" s="9">
        <f t="shared" si="42"/>
        <v>715.38076155311614</v>
      </c>
      <c r="DG53" s="9">
        <f t="shared" si="42"/>
        <v>708.22695393758499</v>
      </c>
      <c r="DH53" s="9">
        <f t="shared" si="42"/>
        <v>701.14468439820917</v>
      </c>
      <c r="DI53" s="9">
        <f t="shared" si="42"/>
        <v>694.13323755422709</v>
      </c>
      <c r="DJ53" s="9">
        <f t="shared" si="42"/>
        <v>687.19190517868481</v>
      </c>
      <c r="DK53" s="9">
        <f t="shared" si="42"/>
        <v>680.3199861268979</v>
      </c>
      <c r="DL53" s="9">
        <f t="shared" si="42"/>
        <v>673.51678626562887</v>
      </c>
      <c r="DM53" s="9">
        <f t="shared" si="42"/>
        <v>666.78161840297253</v>
      </c>
      <c r="DN53" s="9">
        <f t="shared" si="42"/>
        <v>660.11380221894285</v>
      </c>
      <c r="DO53" s="9">
        <f t="shared" si="42"/>
        <v>653.51266419675346</v>
      </c>
      <c r="DP53" s="9">
        <f t="shared" si="42"/>
        <v>646.97753755478595</v>
      </c>
      <c r="DQ53" s="9">
        <f t="shared" si="42"/>
        <v>640.50776217923806</v>
      </c>
      <c r="DR53" s="9">
        <f t="shared" si="42"/>
        <v>634.10268455744563</v>
      </c>
      <c r="DS53" s="9">
        <f t="shared" si="42"/>
        <v>627.76165771187118</v>
      </c>
      <c r="DT53" s="9">
        <f t="shared" si="42"/>
        <v>621.48404113475249</v>
      </c>
      <c r="DU53" s="9">
        <f t="shared" si="42"/>
        <v>615.26920072340499</v>
      </c>
      <c r="DV53" s="9">
        <f t="shared" si="42"/>
        <v>609.11650871617098</v>
      </c>
      <c r="DW53" s="9">
        <f t="shared" si="42"/>
        <v>603.02534362900928</v>
      </c>
      <c r="DX53" s="9">
        <f t="shared" si="42"/>
        <v>596.9950901927192</v>
      </c>
      <c r="DY53" s="9">
        <f t="shared" si="42"/>
        <v>591.02513929079203</v>
      </c>
      <c r="DZ53" s="9">
        <f t="shared" si="42"/>
        <v>585.11488789788405</v>
      </c>
      <c r="EA53" s="9">
        <f t="shared" si="42"/>
        <v>579.2637390189052</v>
      </c>
      <c r="EB53" s="9">
        <f t="shared" si="42"/>
        <v>573.47110162871616</v>
      </c>
      <c r="EC53" s="9">
        <f t="shared" si="42"/>
        <v>567.73639061242898</v>
      </c>
      <c r="ED53" s="9">
        <f t="shared" si="42"/>
        <v>562.05902670630473</v>
      </c>
      <c r="EE53" s="9">
        <f t="shared" si="42"/>
        <v>556.43843643924163</v>
      </c>
      <c r="EF53" s="9">
        <f t="shared" si="42"/>
        <v>550.87405207484926</v>
      </c>
      <c r="EG53" s="9">
        <f t="shared" si="42"/>
        <v>545.3653115541008</v>
      </c>
      <c r="EH53" s="9">
        <f t="shared" si="42"/>
        <v>539.91165843855981</v>
      </c>
      <c r="EI53" s="9">
        <f t="shared" si="42"/>
        <v>534.51254185417417</v>
      </c>
      <c r="EJ53" s="9">
        <f t="shared" si="42"/>
        <v>529.16741643563239</v>
      </c>
    </row>
    <row r="54" spans="1:140" x14ac:dyDescent="0.2">
      <c r="W54" s="3"/>
      <c r="X54" s="3"/>
      <c r="Y54" s="3"/>
      <c r="Z54" s="3"/>
      <c r="AA54" s="3"/>
      <c r="AB54" s="3"/>
    </row>
    <row r="55" spans="1:140" x14ac:dyDescent="0.2">
      <c r="A55" s="1" t="s">
        <v>63</v>
      </c>
      <c r="N55" s="1">
        <f>658-157.8</f>
        <v>500.2</v>
      </c>
      <c r="O55" s="1">
        <f>727.6-468.1-N55</f>
        <v>-240.7</v>
      </c>
      <c r="P55" s="1">
        <f>1009.6-684-SUM(N55:O55)</f>
        <v>66.100000000000023</v>
      </c>
    </row>
    <row r="56" spans="1:140" x14ac:dyDescent="0.2">
      <c r="A56" s="1" t="s">
        <v>64</v>
      </c>
      <c r="N56" s="1">
        <v>-3.8</v>
      </c>
      <c r="O56" s="1">
        <f>-13-N56</f>
        <v>-9.1999999999999993</v>
      </c>
      <c r="P56" s="1">
        <f>-18.6-SUM(N56:O56)</f>
        <v>-5.6000000000000014</v>
      </c>
      <c r="AO56" s="1" t="s">
        <v>74</v>
      </c>
      <c r="AP56" s="3">
        <v>0.05</v>
      </c>
    </row>
    <row r="57" spans="1:140" x14ac:dyDescent="0.2">
      <c r="A57" s="1" t="s">
        <v>65</v>
      </c>
      <c r="N57" s="1">
        <f>+SUM(N55:N56)</f>
        <v>496.4</v>
      </c>
      <c r="O57" s="1">
        <f>+SUM(O55:O56)</f>
        <v>-249.89999999999998</v>
      </c>
      <c r="P57" s="1">
        <f>+SUM(P55:P56)</f>
        <v>60.500000000000021</v>
      </c>
      <c r="AO57" s="1" t="s">
        <v>75</v>
      </c>
      <c r="AP57" s="3">
        <v>-0.01</v>
      </c>
    </row>
    <row r="58" spans="1:140" x14ac:dyDescent="0.2">
      <c r="AO58" s="1" t="s">
        <v>76</v>
      </c>
      <c r="AP58" s="3">
        <v>0.08</v>
      </c>
    </row>
    <row r="59" spans="1:140" x14ac:dyDescent="0.2">
      <c r="A59" s="1" t="s">
        <v>66</v>
      </c>
      <c r="N59" s="1">
        <v>-269.89999999999998</v>
      </c>
      <c r="O59" s="1">
        <f>-660.2-N59</f>
        <v>-390.30000000000007</v>
      </c>
      <c r="P59" s="1">
        <f>-963.3-SUM(N59:O59)</f>
        <v>-303.09999999999991</v>
      </c>
      <c r="AO59" s="1" t="s">
        <v>77</v>
      </c>
      <c r="AP59" s="1">
        <f>+NPV(AP58,AC53:EJ53)-Main!L6+Main!L7</f>
        <v>15997.931993612829</v>
      </c>
    </row>
    <row r="60" spans="1:140" x14ac:dyDescent="0.2">
      <c r="A60" s="1" t="s">
        <v>67</v>
      </c>
      <c r="N60" s="1">
        <v>8.3000000000000007</v>
      </c>
      <c r="O60" s="1">
        <f>8.3-N60</f>
        <v>0</v>
      </c>
      <c r="P60" s="1">
        <f>12.3-SUM(N60:O60)</f>
        <v>4</v>
      </c>
      <c r="AO60" s="1" t="s">
        <v>78</v>
      </c>
      <c r="AP60" s="1">
        <f>+AP59/Main!L4</f>
        <v>166.47171689503466</v>
      </c>
    </row>
    <row r="61" spans="1:140" x14ac:dyDescent="0.2">
      <c r="A61" s="1" t="s">
        <v>68</v>
      </c>
      <c r="N61" s="1">
        <f>+SUM(N59:N60)</f>
        <v>-261.59999999999997</v>
      </c>
      <c r="O61" s="1">
        <f>+SUM(O59:O60)</f>
        <v>-390.30000000000007</v>
      </c>
      <c r="P61" s="1">
        <f>+SUM(P59:P60)</f>
        <v>-299.09999999999991</v>
      </c>
      <c r="AP61" s="3">
        <f>+AP60/Main!L3-1</f>
        <v>-8.2345422550936243E-2</v>
      </c>
    </row>
    <row r="63" spans="1:140" x14ac:dyDescent="0.2">
      <c r="A63" s="1" t="s">
        <v>70</v>
      </c>
      <c r="N63" s="1">
        <v>-0.4</v>
      </c>
      <c r="O63" s="1">
        <f>-0.3-N63</f>
        <v>0.10000000000000003</v>
      </c>
      <c r="P63" s="1">
        <f>0.1-SUM(N63:O63)</f>
        <v>0.4</v>
      </c>
    </row>
    <row r="64" spans="1:140" x14ac:dyDescent="0.2">
      <c r="A64" s="1" t="s">
        <v>69</v>
      </c>
      <c r="N64" s="1">
        <f>+N53+N57+N61+N63</f>
        <v>491.7000000000001</v>
      </c>
      <c r="O64" s="1">
        <f>+O53+O57+O61+O63</f>
        <v>-479.70000000000005</v>
      </c>
      <c r="P64" s="1">
        <f>+P53+P57+P61+P63</f>
        <v>15.200000000000182</v>
      </c>
    </row>
    <row r="65" spans="1:16" x14ac:dyDescent="0.2">
      <c r="A65" s="1" t="s">
        <v>71</v>
      </c>
      <c r="N65" s="1">
        <v>737.2</v>
      </c>
      <c r="O65" s="1">
        <f>+N65+O64</f>
        <v>257.5</v>
      </c>
      <c r="P65" s="1">
        <f>+O65+P64</f>
        <v>272.70000000000016</v>
      </c>
    </row>
    <row r="67" spans="1:16" x14ac:dyDescent="0.2">
      <c r="A67" s="1" t="s">
        <v>72</v>
      </c>
      <c r="N67" s="1">
        <f>+N53+N56</f>
        <v>253.5</v>
      </c>
      <c r="O67" s="1">
        <f>+O53+O56</f>
        <v>151.20000000000002</v>
      </c>
      <c r="P67" s="1">
        <f>+P53+P56</f>
        <v>247.80000000000007</v>
      </c>
    </row>
    <row r="68" spans="1:16" x14ac:dyDescent="0.2">
      <c r="A68" s="1" t="s">
        <v>73</v>
      </c>
      <c r="N68" s="1">
        <f>+SUM(K67:N67)</f>
        <v>253.5</v>
      </c>
      <c r="O68" s="1">
        <f>+SUM(L67:O67)</f>
        <v>404.70000000000005</v>
      </c>
      <c r="P68" s="1">
        <f>+SUM(M67:P67)</f>
        <v>652.50000000000011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2024-11-20T22:07:23Z</dcterms:created>
  <dcterms:modified xsi:type="dcterms:W3CDTF">2024-12-14T11:35:47Z</dcterms:modified>
</cp:coreProperties>
</file>