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nni\Desktop\CompanyResearchModels\"/>
    </mc:Choice>
  </mc:AlternateContent>
  <xr:revisionPtr revIDLastSave="0" documentId="8_{B96CC8D8-097D-4361-8BE9-D1464EEFBDD1}" xr6:coauthVersionLast="47" xr6:coauthVersionMax="47" xr10:uidLastSave="{00000000-0000-0000-0000-000000000000}"/>
  <bookViews>
    <workbookView xWindow="75" yWindow="60" windowWidth="14220" windowHeight="15495" xr2:uid="{BC2D2749-901B-4614-9F8B-5D9A731A540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1" i="1" l="1"/>
  <c r="G31" i="1"/>
  <c r="G27" i="1"/>
  <c r="D12" i="1"/>
  <c r="E20" i="1"/>
  <c r="C20" i="1"/>
  <c r="F20" i="1"/>
  <c r="F24" i="1"/>
  <c r="F23" i="1"/>
  <c r="F22" i="1"/>
  <c r="F21" i="1"/>
  <c r="F19" i="1"/>
  <c r="D24" i="1"/>
  <c r="D23" i="1"/>
  <c r="D22" i="1"/>
  <c r="D21" i="1"/>
  <c r="D20" i="1"/>
  <c r="D19" i="1"/>
  <c r="F17" i="1"/>
  <c r="D17" i="1"/>
  <c r="D16" i="1"/>
  <c r="D15" i="1"/>
  <c r="D14" i="1"/>
  <c r="D13" i="1"/>
  <c r="D11" i="1"/>
  <c r="F16" i="1"/>
  <c r="F15" i="1"/>
  <c r="F14" i="1"/>
  <c r="F13" i="1"/>
  <c r="F12" i="1"/>
  <c r="F11" i="1"/>
  <c r="D9" i="1"/>
  <c r="F9" i="1"/>
  <c r="F8" i="1"/>
  <c r="F7" i="1"/>
  <c r="F6" i="1"/>
  <c r="F5" i="1"/>
  <c r="F4" i="1"/>
  <c r="D8" i="1"/>
  <c r="D7" i="1"/>
  <c r="D6" i="1"/>
  <c r="D5" i="1"/>
  <c r="D4" i="1"/>
  <c r="G30" i="2"/>
  <c r="G27" i="2"/>
  <c r="G25" i="2"/>
  <c r="G22" i="2"/>
  <c r="G21" i="2"/>
  <c r="G19" i="2"/>
  <c r="G17" i="2"/>
  <c r="G16" i="2"/>
  <c r="G15" i="2"/>
  <c r="G14" i="2"/>
  <c r="G13" i="2"/>
  <c r="G9" i="2"/>
  <c r="G8" i="2"/>
  <c r="G7" i="2"/>
  <c r="G5" i="2"/>
  <c r="G4" i="2"/>
  <c r="G3" i="2"/>
  <c r="H18" i="2"/>
  <c r="H20" i="2" s="1"/>
  <c r="I30" i="2"/>
  <c r="I27" i="2"/>
  <c r="I25" i="2"/>
  <c r="I22" i="2"/>
  <c r="I21" i="2"/>
  <c r="I19" i="2"/>
  <c r="I17" i="2"/>
  <c r="I16" i="2"/>
  <c r="I15" i="2"/>
  <c r="I14" i="2"/>
  <c r="I13" i="2"/>
  <c r="I9" i="2"/>
  <c r="I8" i="2"/>
  <c r="I7" i="2"/>
  <c r="I5" i="2"/>
  <c r="I4" i="2"/>
  <c r="I3" i="2"/>
  <c r="T23" i="2"/>
  <c r="U23" i="2"/>
  <c r="T18" i="2"/>
  <c r="T20" i="2" s="1"/>
  <c r="T32" i="2" s="1"/>
  <c r="U18" i="2"/>
  <c r="U20" i="2" s="1"/>
  <c r="U32" i="2" s="1"/>
  <c r="T10" i="2"/>
  <c r="T6" i="2"/>
  <c r="U6" i="2"/>
  <c r="U10" i="2"/>
  <c r="F18" i="2"/>
  <c r="F23" i="2"/>
  <c r="H23" i="2"/>
  <c r="F10" i="2"/>
  <c r="F6" i="2"/>
  <c r="H10" i="2"/>
  <c r="H6" i="2"/>
  <c r="H11" i="2" s="1"/>
  <c r="C21" i="1"/>
  <c r="C24" i="1"/>
  <c r="C23" i="1"/>
  <c r="C22" i="1"/>
  <c r="C19" i="1"/>
  <c r="C17" i="1"/>
  <c r="C9" i="1"/>
  <c r="E23" i="1"/>
  <c r="E22" i="1"/>
  <c r="E21" i="1"/>
  <c r="E19" i="1"/>
  <c r="E17" i="1"/>
  <c r="E24" i="1" s="1"/>
  <c r="E9" i="1"/>
  <c r="G6" i="2" l="1"/>
  <c r="H37" i="2"/>
  <c r="F20" i="2"/>
  <c r="I6" i="2"/>
  <c r="I10" i="2"/>
  <c r="F37" i="2"/>
  <c r="U37" i="2"/>
  <c r="I23" i="2"/>
  <c r="I18" i="2"/>
  <c r="I20" i="2" s="1"/>
  <c r="I32" i="2" s="1"/>
  <c r="G23" i="2"/>
  <c r="G10" i="2"/>
  <c r="T37" i="2"/>
  <c r="G18" i="2"/>
  <c r="G20" i="2" s="1"/>
  <c r="H24" i="2"/>
  <c r="H32" i="2"/>
  <c r="T24" i="2"/>
  <c r="U24" i="2"/>
  <c r="T11" i="2"/>
  <c r="U11" i="2"/>
  <c r="F24" i="2"/>
  <c r="F26" i="2" s="1"/>
  <c r="F28" i="2" s="1"/>
  <c r="F29" i="2" s="1"/>
  <c r="F32" i="2"/>
  <c r="F35" i="2"/>
  <c r="F11" i="2"/>
  <c r="I11" i="2" l="1"/>
  <c r="G11" i="2"/>
  <c r="G24" i="2"/>
  <c r="G26" i="2" s="1"/>
  <c r="G28" i="2" s="1"/>
  <c r="I37" i="2"/>
  <c r="G32" i="2"/>
  <c r="I24" i="2"/>
  <c r="I26" i="2" s="1"/>
  <c r="F34" i="2"/>
  <c r="F33" i="2"/>
  <c r="G37" i="2"/>
  <c r="I33" i="2"/>
  <c r="H26" i="2"/>
  <c r="H33" i="2"/>
  <c r="T33" i="2"/>
  <c r="T26" i="2"/>
  <c r="U33" i="2"/>
  <c r="U26" i="2"/>
  <c r="G35" i="2" l="1"/>
  <c r="G33" i="2"/>
  <c r="G29" i="2"/>
  <c r="G34" i="2"/>
  <c r="I35" i="2"/>
  <c r="I28" i="2"/>
  <c r="H35" i="2"/>
  <c r="H28" i="2"/>
  <c r="T35" i="2"/>
  <c r="T28" i="2"/>
  <c r="U35" i="2"/>
  <c r="U28" i="2"/>
  <c r="I29" i="2" l="1"/>
  <c r="I34" i="2"/>
  <c r="H34" i="2"/>
  <c r="H29" i="2"/>
  <c r="T34" i="2"/>
  <c r="T29" i="2"/>
  <c r="U34" i="2"/>
  <c r="U29" i="2"/>
  <c r="L8" i="1"/>
  <c r="L6" i="1"/>
  <c r="L9" i="1" s="1"/>
  <c r="L2" i="2"/>
  <c r="M2" i="2" s="1"/>
  <c r="N2" i="2" s="1"/>
  <c r="O2" i="2" s="1"/>
  <c r="P2" i="2" s="1"/>
  <c r="Q2" i="2" s="1"/>
  <c r="R2" i="2" s="1"/>
  <c r="S2" i="2" s="1"/>
  <c r="T2" i="2" s="1"/>
  <c r="U2" i="2" s="1"/>
  <c r="V2" i="2" s="1"/>
  <c r="W2" i="2" s="1"/>
  <c r="X2" i="2" s="1"/>
  <c r="Y2" i="2" s="1"/>
  <c r="Z2" i="2" s="1"/>
  <c r="AA2" i="2" s="1"/>
  <c r="AB2" i="2" s="1"/>
  <c r="AC2" i="2" s="1"/>
  <c r="AD2" i="2" s="1"/>
  <c r="AE2" i="2" s="1"/>
  <c r="F28" i="1"/>
  <c r="D28" i="1"/>
  <c r="F29" i="1"/>
  <c r="D29" i="1"/>
  <c r="F30" i="1"/>
  <c r="D30" i="1"/>
  <c r="F37" i="1"/>
  <c r="F27" i="1"/>
  <c r="D27" i="1"/>
  <c r="D31" i="1" s="1"/>
  <c r="D34" i="1" l="1"/>
  <c r="D35" i="1"/>
  <c r="D36" i="1"/>
  <c r="D33" i="1"/>
  <c r="D37" i="1" s="1"/>
</calcChain>
</file>

<file path=xl/sharedStrings.xml><?xml version="1.0" encoding="utf-8"?>
<sst xmlns="http://schemas.openxmlformats.org/spreadsheetml/2006/main" count="102" uniqueCount="69">
  <si>
    <t>Revenue</t>
  </si>
  <si>
    <t>COGS</t>
  </si>
  <si>
    <t>Gross profit</t>
  </si>
  <si>
    <t>Operating expense</t>
  </si>
  <si>
    <t>Operating income</t>
  </si>
  <si>
    <t>Interest income</t>
  </si>
  <si>
    <t>Pretax</t>
  </si>
  <si>
    <t>Taxes</t>
  </si>
  <si>
    <t>Net income</t>
  </si>
  <si>
    <t>EPS</t>
  </si>
  <si>
    <t>Shares</t>
  </si>
  <si>
    <t>Gross margin</t>
  </si>
  <si>
    <t>Operating margin</t>
  </si>
  <si>
    <t>Net margin</t>
  </si>
  <si>
    <t>Tax rate</t>
  </si>
  <si>
    <t>Revenue y/y</t>
  </si>
  <si>
    <t>Price</t>
  </si>
  <si>
    <t>MC</t>
  </si>
  <si>
    <t>Cash</t>
  </si>
  <si>
    <t>Debt</t>
  </si>
  <si>
    <t>EV</t>
  </si>
  <si>
    <t>HY21</t>
  </si>
  <si>
    <t>FY21</t>
  </si>
  <si>
    <t>HY22</t>
  </si>
  <si>
    <t>FY22</t>
  </si>
  <si>
    <t>HY23</t>
  </si>
  <si>
    <t>FY23</t>
  </si>
  <si>
    <t>HY24</t>
  </si>
  <si>
    <t>FY24</t>
  </si>
  <si>
    <t>Business segment</t>
  </si>
  <si>
    <t>Health</t>
  </si>
  <si>
    <t>Tax &amp; Accounting</t>
  </si>
  <si>
    <t>Financial &amp; Corporate Compliance</t>
  </si>
  <si>
    <t>Legal &amp; Regulatory</t>
  </si>
  <si>
    <t>Corporate Performance &amp; ESG</t>
  </si>
  <si>
    <t>Total</t>
  </si>
  <si>
    <t>Revenues</t>
  </si>
  <si>
    <t>Corporate</t>
  </si>
  <si>
    <t>Adjusted operating profit</t>
  </si>
  <si>
    <t>Adjusted operating profit margin</t>
  </si>
  <si>
    <t>Digital and service subscription</t>
  </si>
  <si>
    <t>Print subscription</t>
  </si>
  <si>
    <t>Other recurring</t>
  </si>
  <si>
    <t>Total recurring revenues</t>
  </si>
  <si>
    <t xml:space="preserve">Transactional </t>
  </si>
  <si>
    <t>Print books</t>
  </si>
  <si>
    <t>Other non-recurring</t>
  </si>
  <si>
    <t>Total non-recurring revenues</t>
  </si>
  <si>
    <t>Total revenues</t>
  </si>
  <si>
    <t>Sales</t>
  </si>
  <si>
    <t>G&amp;A</t>
  </si>
  <si>
    <t>Aquisition</t>
  </si>
  <si>
    <t>Registered Agent Solutions, Inc. (RASi)</t>
  </si>
  <si>
    <t>Feb 7, 2025</t>
  </si>
  <si>
    <t>$415 million in cash</t>
  </si>
  <si>
    <t>expect transaction close in first half of 2025</t>
  </si>
  <si>
    <t>Revenue in 2024, $52 million</t>
  </si>
  <si>
    <t>WACC</t>
  </si>
  <si>
    <t>North America</t>
  </si>
  <si>
    <t>Europe</t>
  </si>
  <si>
    <t>Asia Pacific</t>
  </si>
  <si>
    <t>Rest of World</t>
  </si>
  <si>
    <t>Revenues margin</t>
  </si>
  <si>
    <t>Finca Group NV</t>
  </si>
  <si>
    <t>Sep 5, 2024</t>
  </si>
  <si>
    <t>$325 million in cash</t>
  </si>
  <si>
    <t>Revenue in 2023, $34 million</t>
  </si>
  <si>
    <t>grew 23% compared to prior year</t>
  </si>
  <si>
    <t>Tarifs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</si>
</sst>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%"/>
  </numFmts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3" fontId="0" fillId="0" borderId="0" xfId="0" applyNumberFormat="1"/>
    <xf numFmtId="0" fontId="0" fillId="0" borderId="0" xfId="0" applyNumberFormat="1"/>
    <xf numFmtId="3" fontId="0" fillId="0" borderId="0" xfId="0" applyNumberFormat="1" applyAlignment="1">
      <alignment horizontal="right"/>
    </xf>
    <xf numFmtId="9" fontId="0" fillId="0" borderId="0" xfId="0" applyNumberFormat="1"/>
    <xf numFmtId="4" fontId="0" fillId="0" borderId="0" xfId="0" applyNumberFormat="1"/>
    <xf numFmtId="3" fontId="1" fillId="0" borderId="0" xfId="0" applyNumberFormat="1" applyFont="1"/>
    <xf numFmtId="9" fontId="1" fillId="0" borderId="0" xfId="0" applyNumberFormat="1" applyFont="1"/>
    <xf numFmtId="0" fontId="1" fillId="0" borderId="0" xfId="0" applyFont="1"/>
    <xf numFmtId="3" fontId="0" fillId="0" borderId="0" xfId="0" applyNumberFormat="1" applyAlignment="1">
      <alignment horizontal="left"/>
    </xf>
    <xf numFmtId="0" fontId="0" fillId="0" borderId="0" xfId="0" applyBorder="1"/>
    <xf numFmtId="0" fontId="1" fillId="0" borderId="0" xfId="0" applyFont="1" applyBorder="1"/>
    <xf numFmtId="0" fontId="0" fillId="0" borderId="0" xfId="0" applyFill="1" applyBorder="1"/>
    <xf numFmtId="165" fontId="0" fillId="0" borderId="0" xfId="0" applyNumberFormat="1" applyBorder="1"/>
    <xf numFmtId="3" fontId="1" fillId="0" borderId="0" xfId="0" applyNumberFormat="1" applyFont="1" applyAlignment="1">
      <alignment horizontal="left"/>
    </xf>
    <xf numFmtId="3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0" fontId="0" fillId="2" borderId="0" xfId="0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3" fontId="0" fillId="0" borderId="0" xfId="0" applyNumberFormat="1" applyBorder="1"/>
    <xf numFmtId="3" fontId="0" fillId="0" borderId="0" xfId="0" applyNumberFormat="1" applyFill="1" applyBorder="1"/>
    <xf numFmtId="9" fontId="0" fillId="0" borderId="0" xfId="0" applyNumberFormat="1" applyBorder="1"/>
    <xf numFmtId="0" fontId="1" fillId="2" borderId="0" xfId="0" applyFont="1" applyFill="1" applyBorder="1"/>
    <xf numFmtId="0" fontId="0" fillId="0" borderId="0" xfId="0" applyFont="1" applyBorder="1"/>
    <xf numFmtId="3" fontId="0" fillId="0" borderId="0" xfId="0" applyNumberFormat="1" applyFont="1" applyBorder="1"/>
    <xf numFmtId="3" fontId="0" fillId="2" borderId="0" xfId="0" applyNumberFormat="1" applyFill="1" applyBorder="1"/>
    <xf numFmtId="0" fontId="0" fillId="3" borderId="0" xfId="0" applyFill="1" applyBorder="1"/>
    <xf numFmtId="3" fontId="0" fillId="3" borderId="0" xfId="0" applyNumberFormat="1" applyFill="1" applyBorder="1"/>
    <xf numFmtId="0" fontId="0" fillId="2" borderId="0" xfId="0" applyFill="1" applyBorder="1"/>
    <xf numFmtId="0" fontId="0" fillId="0" borderId="0" xfId="0" applyFill="1"/>
    <xf numFmtId="3" fontId="0" fillId="0" borderId="0" xfId="0" applyNumberFormat="1" applyFill="1"/>
    <xf numFmtId="9" fontId="0" fillId="0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28575</xdr:colOff>
      <xdr:row>0</xdr:row>
      <xdr:rowOff>9525</xdr:rowOff>
    </xdr:from>
    <xdr:to>
      <xdr:col>9</xdr:col>
      <xdr:colOff>28575</xdr:colOff>
      <xdr:row>50</xdr:row>
      <xdr:rowOff>19050</xdr:rowOff>
    </xdr:to>
    <xdr:cxnSp macro="">
      <xdr:nvCxnSpPr>
        <xdr:cNvPr id="2" name="Straight Arrow Connector 1">
          <a:extLst>
            <a:ext uri="{FF2B5EF4-FFF2-40B4-BE49-F238E27FC236}">
              <a16:creationId xmlns:a16="http://schemas.microsoft.com/office/drawing/2014/main" id="{EFAC2BC8-59EA-BB50-0EE1-F6DBCDB1024D}"/>
            </a:ext>
          </a:extLst>
        </xdr:cNvPr>
        <xdr:cNvCxnSpPr/>
      </xdr:nvCxnSpPr>
      <xdr:spPr>
        <a:xfrm>
          <a:off x="10896600" y="9525"/>
          <a:ext cx="0" cy="5676900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0</xdr:row>
      <xdr:rowOff>0</xdr:rowOff>
    </xdr:from>
    <xdr:to>
      <xdr:col>21</xdr:col>
      <xdr:colOff>19050</xdr:colOff>
      <xdr:row>50</xdr:row>
      <xdr:rowOff>9525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4D1065FA-C74F-4685-8DE2-69DC16C28B87}"/>
            </a:ext>
          </a:extLst>
        </xdr:cNvPr>
        <xdr:cNvCxnSpPr/>
      </xdr:nvCxnSpPr>
      <xdr:spPr>
        <a:xfrm>
          <a:off x="19078575" y="0"/>
          <a:ext cx="0" cy="8105775"/>
        </a:xfrm>
        <a:prstGeom prst="straightConnector1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742618-6278-4A2D-BBB5-221ECDCDF427}">
  <dimension ref="B2:L41"/>
  <sheetViews>
    <sheetView tabSelected="1" workbookViewId="0">
      <selection activeCell="I11" sqref="I11"/>
    </sheetView>
  </sheetViews>
  <sheetFormatPr defaultRowHeight="12.75" x14ac:dyDescent="0.2"/>
  <cols>
    <col min="1" max="1" width="3.85546875" customWidth="1"/>
    <col min="2" max="2" width="31.140625" bestFit="1" customWidth="1"/>
  </cols>
  <sheetData>
    <row r="2" spans="2:12" x14ac:dyDescent="0.2">
      <c r="B2" s="11" t="s">
        <v>29</v>
      </c>
      <c r="C2" s="10"/>
      <c r="D2" s="10"/>
      <c r="E2" s="10"/>
      <c r="F2" s="10"/>
    </row>
    <row r="3" spans="2:12" x14ac:dyDescent="0.2">
      <c r="B3" s="22" t="s">
        <v>36</v>
      </c>
      <c r="C3" s="17" t="s">
        <v>25</v>
      </c>
      <c r="D3" s="17" t="s">
        <v>26</v>
      </c>
      <c r="E3" s="17" t="s">
        <v>27</v>
      </c>
      <c r="F3" s="17" t="s">
        <v>28</v>
      </c>
      <c r="H3" s="18" t="s">
        <v>57</v>
      </c>
      <c r="I3" s="4">
        <v>0.08</v>
      </c>
    </row>
    <row r="4" spans="2:12" x14ac:dyDescent="0.2">
      <c r="B4" s="10" t="s">
        <v>30</v>
      </c>
      <c r="C4" s="19">
        <v>725</v>
      </c>
      <c r="D4" s="19">
        <f>1508-C4</f>
        <v>783</v>
      </c>
      <c r="E4" s="19">
        <v>771</v>
      </c>
      <c r="F4" s="19">
        <f>1584-E4</f>
        <v>813</v>
      </c>
      <c r="K4" t="s">
        <v>16</v>
      </c>
      <c r="L4">
        <v>141.94999999999999</v>
      </c>
    </row>
    <row r="5" spans="2:12" x14ac:dyDescent="0.2">
      <c r="B5" s="10" t="s">
        <v>31</v>
      </c>
      <c r="C5" s="19">
        <v>735</v>
      </c>
      <c r="D5" s="19">
        <f>1466-C5</f>
        <v>731</v>
      </c>
      <c r="E5" s="19">
        <v>775</v>
      </c>
      <c r="F5" s="19">
        <f>1561-E5</f>
        <v>786</v>
      </c>
      <c r="K5" t="s">
        <v>10</v>
      </c>
      <c r="L5" s="1">
        <v>238.4</v>
      </c>
    </row>
    <row r="6" spans="2:12" x14ac:dyDescent="0.2">
      <c r="B6" s="10" t="s">
        <v>32</v>
      </c>
      <c r="C6" s="19">
        <v>519</v>
      </c>
      <c r="D6" s="19">
        <f>1172-C6</f>
        <v>653</v>
      </c>
      <c r="E6" s="19">
        <v>540</v>
      </c>
      <c r="F6" s="19">
        <f>1228-E6</f>
        <v>688</v>
      </c>
      <c r="K6" t="s">
        <v>17</v>
      </c>
      <c r="L6" s="1">
        <f>+L4*L5</f>
        <v>33840.879999999997</v>
      </c>
    </row>
    <row r="7" spans="2:12" x14ac:dyDescent="0.2">
      <c r="B7" s="10" t="s">
        <v>33</v>
      </c>
      <c r="C7" s="20">
        <v>423</v>
      </c>
      <c r="D7" s="19">
        <f>875-C7</f>
        <v>452</v>
      </c>
      <c r="E7" s="19">
        <v>458</v>
      </c>
      <c r="F7" s="19">
        <f>946-E7</f>
        <v>488</v>
      </c>
      <c r="K7" t="s">
        <v>18</v>
      </c>
      <c r="L7" s="1">
        <v>954</v>
      </c>
    </row>
    <row r="8" spans="2:12" x14ac:dyDescent="0.2">
      <c r="B8" s="10" t="s">
        <v>34</v>
      </c>
      <c r="C8" s="19">
        <v>323</v>
      </c>
      <c r="D8" s="19">
        <f>563-C8</f>
        <v>240</v>
      </c>
      <c r="E8" s="19">
        <v>347</v>
      </c>
      <c r="F8" s="19">
        <f>597-E8</f>
        <v>250</v>
      </c>
      <c r="K8" t="s">
        <v>19</v>
      </c>
      <c r="L8" s="1">
        <f>3484+359</f>
        <v>3843</v>
      </c>
    </row>
    <row r="9" spans="2:12" x14ac:dyDescent="0.2">
      <c r="B9" s="23" t="s">
        <v>35</v>
      </c>
      <c r="C9" s="24">
        <f>+SUM(C4:C8)</f>
        <v>2725</v>
      </c>
      <c r="D9" s="24">
        <f>+SUM(D4:D8)</f>
        <v>2859</v>
      </c>
      <c r="E9" s="24">
        <f>+SUM(E4:E8)</f>
        <v>2891</v>
      </c>
      <c r="F9" s="24">
        <f>+SUM(F4:F8)</f>
        <v>3025</v>
      </c>
      <c r="K9" t="s">
        <v>20</v>
      </c>
      <c r="L9" s="1">
        <f>+L6-L7+L8</f>
        <v>36729.879999999997</v>
      </c>
    </row>
    <row r="10" spans="2:12" x14ac:dyDescent="0.2">
      <c r="B10" s="22" t="s">
        <v>38</v>
      </c>
      <c r="C10" s="25"/>
      <c r="D10" s="25"/>
      <c r="E10" s="25"/>
      <c r="F10" s="25"/>
    </row>
    <row r="11" spans="2:12" x14ac:dyDescent="0.2">
      <c r="B11" s="10" t="s">
        <v>30</v>
      </c>
      <c r="C11" s="19">
        <v>217</v>
      </c>
      <c r="D11" s="19">
        <f>454-C11</f>
        <v>237</v>
      </c>
      <c r="E11" s="19">
        <v>223</v>
      </c>
      <c r="F11" s="19">
        <f>480-E11</f>
        <v>257</v>
      </c>
    </row>
    <row r="12" spans="2:12" x14ac:dyDescent="0.2">
      <c r="B12" s="10" t="s">
        <v>31</v>
      </c>
      <c r="C12" s="20">
        <v>258</v>
      </c>
      <c r="D12" s="19">
        <f>479-C12</f>
        <v>221</v>
      </c>
      <c r="E12" s="20">
        <v>271</v>
      </c>
      <c r="F12" s="19">
        <f>519-E12</f>
        <v>248</v>
      </c>
    </row>
    <row r="13" spans="2:12" x14ac:dyDescent="0.2">
      <c r="B13" s="10" t="s">
        <v>32</v>
      </c>
      <c r="C13" s="20">
        <v>193</v>
      </c>
      <c r="D13" s="19">
        <f>403-C13</f>
        <v>210</v>
      </c>
      <c r="E13" s="20">
        <v>209</v>
      </c>
      <c r="F13" s="19">
        <f>433-E13</f>
        <v>224</v>
      </c>
    </row>
    <row r="14" spans="2:12" x14ac:dyDescent="0.2">
      <c r="B14" s="10" t="s">
        <v>33</v>
      </c>
      <c r="C14" s="20">
        <v>60</v>
      </c>
      <c r="D14" s="19">
        <f>138-C14</f>
        <v>78</v>
      </c>
      <c r="E14" s="20">
        <v>78</v>
      </c>
      <c r="F14" s="19">
        <f>176-E14</f>
        <v>98</v>
      </c>
    </row>
    <row r="15" spans="2:12" x14ac:dyDescent="0.2">
      <c r="B15" s="10" t="s">
        <v>34</v>
      </c>
      <c r="C15" s="20">
        <v>15</v>
      </c>
      <c r="D15" s="19">
        <f>68-C15</f>
        <v>53</v>
      </c>
      <c r="E15" s="19">
        <v>16</v>
      </c>
      <c r="F15" s="19">
        <f>61-E15</f>
        <v>45</v>
      </c>
    </row>
    <row r="16" spans="2:12" x14ac:dyDescent="0.2">
      <c r="B16" s="26" t="s">
        <v>37</v>
      </c>
      <c r="C16" s="27">
        <v>-32</v>
      </c>
      <c r="D16" s="27">
        <f>-66-C16</f>
        <v>-34</v>
      </c>
      <c r="E16" s="27">
        <v>-32</v>
      </c>
      <c r="F16" s="27">
        <f>-69-E16</f>
        <v>-37</v>
      </c>
    </row>
    <row r="17" spans="2:8" x14ac:dyDescent="0.2">
      <c r="B17" s="10" t="s">
        <v>35</v>
      </c>
      <c r="C17" s="19">
        <f>+SUM(C11:C16)</f>
        <v>711</v>
      </c>
      <c r="D17" s="19">
        <f>+SUM(D11:D16)</f>
        <v>765</v>
      </c>
      <c r="E17" s="19">
        <f>+SUM(E11:E16)</f>
        <v>765</v>
      </c>
      <c r="F17" s="19">
        <f>+SUM(F11:F16)</f>
        <v>835</v>
      </c>
    </row>
    <row r="18" spans="2:8" x14ac:dyDescent="0.2">
      <c r="B18" s="22" t="s">
        <v>39</v>
      </c>
      <c r="C18" s="28"/>
      <c r="D18" s="28"/>
      <c r="E18" s="28"/>
      <c r="F18" s="28"/>
    </row>
    <row r="19" spans="2:8" x14ac:dyDescent="0.2">
      <c r="B19" s="10" t="s">
        <v>30</v>
      </c>
      <c r="C19" s="13">
        <f>+C11/C4</f>
        <v>0.29931034482758623</v>
      </c>
      <c r="D19" s="13">
        <f>+D11/D4</f>
        <v>0.30268199233716475</v>
      </c>
      <c r="E19" s="13">
        <f>+E11/E4</f>
        <v>0.2892347600518807</v>
      </c>
      <c r="F19" s="13">
        <f>+F11/F4</f>
        <v>0.31611316113161131</v>
      </c>
    </row>
    <row r="20" spans="2:8" x14ac:dyDescent="0.2">
      <c r="B20" s="10" t="s">
        <v>31</v>
      </c>
      <c r="C20" s="13">
        <f>+C12/C5</f>
        <v>0.3510204081632653</v>
      </c>
      <c r="D20" s="13">
        <f>+D12/D5</f>
        <v>0.30232558139534882</v>
      </c>
      <c r="E20" s="13">
        <f>+E12/E5</f>
        <v>0.3496774193548387</v>
      </c>
      <c r="F20" s="13">
        <f>+F12/F5</f>
        <v>0.31552162849872772</v>
      </c>
    </row>
    <row r="21" spans="2:8" x14ac:dyDescent="0.2">
      <c r="B21" s="10" t="s">
        <v>32</v>
      </c>
      <c r="C21" s="13">
        <f>+C13/C6</f>
        <v>0.37186897880539499</v>
      </c>
      <c r="D21" s="13">
        <f>+D13/D6</f>
        <v>0.32159264931087289</v>
      </c>
      <c r="E21" s="13">
        <f>+E13/E6</f>
        <v>0.38703703703703701</v>
      </c>
      <c r="F21" s="13">
        <f>+F13/F6</f>
        <v>0.32558139534883723</v>
      </c>
    </row>
    <row r="22" spans="2:8" x14ac:dyDescent="0.2">
      <c r="B22" s="10" t="s">
        <v>33</v>
      </c>
      <c r="C22" s="13">
        <f>+C14/C7</f>
        <v>0.14184397163120568</v>
      </c>
      <c r="D22" s="13">
        <f>+D14/D7</f>
        <v>0.17256637168141592</v>
      </c>
      <c r="E22" s="13">
        <f>+E14/E7</f>
        <v>0.1703056768558952</v>
      </c>
      <c r="F22" s="13">
        <f>+F14/F7</f>
        <v>0.20081967213114754</v>
      </c>
    </row>
    <row r="23" spans="2:8" x14ac:dyDescent="0.2">
      <c r="B23" s="10" t="s">
        <v>34</v>
      </c>
      <c r="C23" s="13">
        <f>+C15/C8</f>
        <v>4.6439628482972138E-2</v>
      </c>
      <c r="D23" s="13">
        <f>+D15/D8</f>
        <v>0.22083333333333333</v>
      </c>
      <c r="E23" s="13">
        <f>+E15/E8</f>
        <v>4.6109510086455328E-2</v>
      </c>
      <c r="F23" s="13">
        <f>+F15/F8</f>
        <v>0.18</v>
      </c>
    </row>
    <row r="24" spans="2:8" x14ac:dyDescent="0.2">
      <c r="B24" s="12" t="s">
        <v>35</v>
      </c>
      <c r="C24" s="13">
        <f>+C17/C9</f>
        <v>0.26091743119266053</v>
      </c>
      <c r="D24" s="13">
        <f>+D17/D9</f>
        <v>0.26757607555089191</v>
      </c>
      <c r="E24" s="13">
        <f>+E17/E9</f>
        <v>0.26461432030439297</v>
      </c>
      <c r="F24" s="13">
        <f>+F17/F9</f>
        <v>0.27603305785123966</v>
      </c>
    </row>
    <row r="25" spans="2:8" x14ac:dyDescent="0.2">
      <c r="B25" s="10"/>
      <c r="C25" s="10"/>
      <c r="D25" s="10"/>
      <c r="E25" s="10"/>
      <c r="F25" s="10"/>
    </row>
    <row r="26" spans="2:8" x14ac:dyDescent="0.2">
      <c r="B26" s="22" t="s">
        <v>36</v>
      </c>
      <c r="C26" s="17" t="s">
        <v>25</v>
      </c>
      <c r="D26" s="17" t="s">
        <v>26</v>
      </c>
      <c r="E26" s="17" t="s">
        <v>27</v>
      </c>
      <c r="F26" s="17" t="s">
        <v>28</v>
      </c>
      <c r="G26" s="18" t="s">
        <v>68</v>
      </c>
      <c r="H26" s="29"/>
    </row>
    <row r="27" spans="2:8" x14ac:dyDescent="0.2">
      <c r="B27" s="10" t="s">
        <v>58</v>
      </c>
      <c r="C27" s="19"/>
      <c r="D27" s="19">
        <f>+F27*0.95</f>
        <v>3596.9279999999999</v>
      </c>
      <c r="E27" s="19"/>
      <c r="F27" s="19">
        <f>+$F$31*F33</f>
        <v>3786.2400000000002</v>
      </c>
      <c r="G27" s="30">
        <f>+F27*0.8</f>
        <v>3028.9920000000002</v>
      </c>
      <c r="H27" s="29"/>
    </row>
    <row r="28" spans="2:8" x14ac:dyDescent="0.2">
      <c r="B28" s="10" t="s">
        <v>59</v>
      </c>
      <c r="C28" s="19"/>
      <c r="D28" s="19">
        <f>+F28*0.93</f>
        <v>1540.5264000000004</v>
      </c>
      <c r="E28" s="19"/>
      <c r="F28" s="19">
        <f t="shared" ref="F28:G30" si="0">+$F$31*F34</f>
        <v>1656.4800000000002</v>
      </c>
      <c r="G28" s="30">
        <v>1656</v>
      </c>
      <c r="H28" s="29"/>
    </row>
    <row r="29" spans="2:8" x14ac:dyDescent="0.2">
      <c r="B29" s="10" t="s">
        <v>60</v>
      </c>
      <c r="C29" s="19"/>
      <c r="D29" s="19">
        <f>+F29*0.91</f>
        <v>269.178</v>
      </c>
      <c r="E29" s="19"/>
      <c r="F29" s="19">
        <f t="shared" si="0"/>
        <v>295.8</v>
      </c>
      <c r="G29" s="30">
        <v>296</v>
      </c>
      <c r="H29" s="29"/>
    </row>
    <row r="30" spans="2:8" x14ac:dyDescent="0.2">
      <c r="B30" s="10" t="s">
        <v>61</v>
      </c>
      <c r="C30" s="19"/>
      <c r="D30" s="19">
        <f>+F30*0.91</f>
        <v>161.5068</v>
      </c>
      <c r="E30" s="19"/>
      <c r="F30" s="19">
        <f t="shared" si="0"/>
        <v>177.48</v>
      </c>
      <c r="G30" s="30">
        <v>177</v>
      </c>
      <c r="H30" s="29"/>
    </row>
    <row r="31" spans="2:8" x14ac:dyDescent="0.2">
      <c r="B31" s="10" t="s">
        <v>35</v>
      </c>
      <c r="C31" s="19"/>
      <c r="D31" s="19">
        <f>+SUM(D27:D30)</f>
        <v>5568.1392000000005</v>
      </c>
      <c r="E31" s="19"/>
      <c r="F31" s="19">
        <v>5916</v>
      </c>
      <c r="G31" s="30">
        <f>+SUM(G27:G30)</f>
        <v>5157.9920000000002</v>
      </c>
      <c r="H31" s="31">
        <f>+G31/F31-1</f>
        <v>-0.12812846517917509</v>
      </c>
    </row>
    <row r="32" spans="2:8" x14ac:dyDescent="0.2">
      <c r="B32" s="22" t="s">
        <v>62</v>
      </c>
      <c r="C32" s="28"/>
      <c r="D32" s="28"/>
      <c r="E32" s="28"/>
      <c r="F32" s="28"/>
    </row>
    <row r="33" spans="2:12" x14ac:dyDescent="0.2">
      <c r="B33" s="10" t="s">
        <v>58</v>
      </c>
      <c r="C33" s="13"/>
      <c r="D33" s="13">
        <f>+D27/$D$31</f>
        <v>0.64598385040373985</v>
      </c>
      <c r="E33" s="13"/>
      <c r="F33" s="13">
        <v>0.64</v>
      </c>
    </row>
    <row r="34" spans="2:12" x14ac:dyDescent="0.2">
      <c r="B34" s="10" t="s">
        <v>59</v>
      </c>
      <c r="C34" s="13"/>
      <c r="D34" s="13">
        <f>+D28/$D$31</f>
        <v>0.27666808329791759</v>
      </c>
      <c r="E34" s="13"/>
      <c r="F34" s="13">
        <v>0.28000000000000003</v>
      </c>
    </row>
    <row r="35" spans="2:12" x14ac:dyDescent="0.2">
      <c r="B35" s="10" t="s">
        <v>60</v>
      </c>
      <c r="C35" s="13"/>
      <c r="D35" s="13">
        <f>+D29/$D$31</f>
        <v>4.8342541436464083E-2</v>
      </c>
      <c r="E35" s="13"/>
      <c r="F35" s="13">
        <v>0.05</v>
      </c>
    </row>
    <row r="36" spans="2:12" x14ac:dyDescent="0.2">
      <c r="B36" s="10" t="s">
        <v>61</v>
      </c>
      <c r="C36" s="13"/>
      <c r="D36" s="13">
        <f>+D30/$D$31</f>
        <v>2.9005524861878448E-2</v>
      </c>
      <c r="E36" s="13"/>
      <c r="F36" s="13">
        <v>0.03</v>
      </c>
    </row>
    <row r="37" spans="2:12" x14ac:dyDescent="0.2">
      <c r="B37" s="12" t="s">
        <v>35</v>
      </c>
      <c r="C37" s="21"/>
      <c r="D37" s="21">
        <f>+SUM(D33:D36)</f>
        <v>1</v>
      </c>
      <c r="E37" s="21"/>
      <c r="F37" s="21">
        <f>+SUM(F33:F36)</f>
        <v>1</v>
      </c>
    </row>
    <row r="39" spans="2:12" x14ac:dyDescent="0.2">
      <c r="B39" s="8" t="s">
        <v>51</v>
      </c>
    </row>
    <row r="40" spans="2:12" x14ac:dyDescent="0.2">
      <c r="B40" s="16" t="s">
        <v>52</v>
      </c>
      <c r="C40" s="16"/>
      <c r="D40" s="16" t="s">
        <v>53</v>
      </c>
      <c r="E40" s="16"/>
      <c r="F40" t="s">
        <v>54</v>
      </c>
      <c r="I40" t="s">
        <v>56</v>
      </c>
      <c r="L40" t="s">
        <v>55</v>
      </c>
    </row>
    <row r="41" spans="2:12" x14ac:dyDescent="0.2">
      <c r="B41" t="s">
        <v>63</v>
      </c>
      <c r="D41" t="s">
        <v>64</v>
      </c>
      <c r="F41" t="s">
        <v>65</v>
      </c>
      <c r="I41" t="s">
        <v>66</v>
      </c>
      <c r="L41" t="s">
        <v>67</v>
      </c>
    </row>
  </sheetData>
  <mergeCells count="2">
    <mergeCell ref="B40:C40"/>
    <mergeCell ref="D40:E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764FE4-88EC-48F3-8BDC-BB3D0CA7E6FA}">
  <dimension ref="A2:AE37"/>
  <sheetViews>
    <sheetView workbookViewId="0">
      <pane xSplit="1" ySplit="2" topLeftCell="N3" activePane="bottomRight" state="frozen"/>
      <selection pane="topRight" activeCell="B1" sqref="B1"/>
      <selection pane="bottomLeft" activeCell="A3" sqref="A3"/>
      <selection pane="bottomRight" activeCell="E13" sqref="E13"/>
    </sheetView>
  </sheetViews>
  <sheetFormatPr defaultRowHeight="12.75" x14ac:dyDescent="0.2"/>
  <cols>
    <col min="1" max="1" width="29.85546875" style="1" bestFit="1" customWidth="1"/>
    <col min="2" max="16384" width="9.140625" style="1"/>
  </cols>
  <sheetData>
    <row r="2" spans="1:31" x14ac:dyDescent="0.2">
      <c r="A2" s="3"/>
      <c r="B2" s="3" t="s">
        <v>21</v>
      </c>
      <c r="C2" s="3" t="s">
        <v>22</v>
      </c>
      <c r="D2" s="3" t="s">
        <v>23</v>
      </c>
      <c r="E2" s="3" t="s">
        <v>24</v>
      </c>
      <c r="F2" s="3" t="s">
        <v>25</v>
      </c>
      <c r="G2" s="3" t="s">
        <v>26</v>
      </c>
      <c r="H2" s="3" t="s">
        <v>27</v>
      </c>
      <c r="I2" s="3" t="s">
        <v>28</v>
      </c>
      <c r="K2" s="2">
        <v>2014</v>
      </c>
      <c r="L2" s="2">
        <f>+K2+1</f>
        <v>2015</v>
      </c>
      <c r="M2" s="2">
        <f t="shared" ref="M2:AF2" si="0">+L2+1</f>
        <v>2016</v>
      </c>
      <c r="N2" s="2">
        <f t="shared" si="0"/>
        <v>2017</v>
      </c>
      <c r="O2" s="2">
        <f t="shared" si="0"/>
        <v>2018</v>
      </c>
      <c r="P2" s="2">
        <f t="shared" si="0"/>
        <v>2019</v>
      </c>
      <c r="Q2" s="2">
        <f t="shared" si="0"/>
        <v>2020</v>
      </c>
      <c r="R2" s="2">
        <f t="shared" si="0"/>
        <v>2021</v>
      </c>
      <c r="S2" s="2">
        <f t="shared" si="0"/>
        <v>2022</v>
      </c>
      <c r="T2" s="2">
        <f t="shared" si="0"/>
        <v>2023</v>
      </c>
      <c r="U2" s="2">
        <f t="shared" si="0"/>
        <v>2024</v>
      </c>
      <c r="V2" s="2">
        <f t="shared" si="0"/>
        <v>2025</v>
      </c>
      <c r="W2" s="2">
        <f t="shared" si="0"/>
        <v>2026</v>
      </c>
      <c r="X2" s="2">
        <f t="shared" si="0"/>
        <v>2027</v>
      </c>
      <c r="Y2" s="2">
        <f t="shared" si="0"/>
        <v>2028</v>
      </c>
      <c r="Z2" s="2">
        <f t="shared" si="0"/>
        <v>2029</v>
      </c>
      <c r="AA2" s="2">
        <f t="shared" si="0"/>
        <v>2030</v>
      </c>
      <c r="AB2" s="2">
        <f t="shared" si="0"/>
        <v>2031</v>
      </c>
      <c r="AC2" s="2">
        <f t="shared" si="0"/>
        <v>2032</v>
      </c>
      <c r="AD2" s="2">
        <f t="shared" si="0"/>
        <v>2033</v>
      </c>
      <c r="AE2" s="2">
        <f t="shared" si="0"/>
        <v>2034</v>
      </c>
    </row>
    <row r="3" spans="1:31" x14ac:dyDescent="0.2">
      <c r="A3" s="9" t="s">
        <v>40</v>
      </c>
      <c r="B3" s="3"/>
      <c r="C3" s="3"/>
      <c r="D3" s="3"/>
      <c r="E3" s="3"/>
      <c r="F3" s="3">
        <v>2023</v>
      </c>
      <c r="G3" s="3">
        <f>+T3-F3</f>
        <v>2111</v>
      </c>
      <c r="H3" s="3">
        <v>2177</v>
      </c>
      <c r="I3" s="3">
        <f>+U3-H3</f>
        <v>2281</v>
      </c>
      <c r="T3" s="1">
        <v>4134</v>
      </c>
      <c r="U3" s="1">
        <v>4458</v>
      </c>
    </row>
    <row r="4" spans="1:31" x14ac:dyDescent="0.2">
      <c r="A4" s="9" t="s">
        <v>41</v>
      </c>
      <c r="B4" s="3"/>
      <c r="C4" s="3"/>
      <c r="D4" s="3"/>
      <c r="E4" s="3"/>
      <c r="F4" s="3">
        <v>66</v>
      </c>
      <c r="G4" s="3">
        <f>+T4-F4</f>
        <v>70</v>
      </c>
      <c r="H4" s="3">
        <v>61</v>
      </c>
      <c r="I4" s="3">
        <f>+U4-H4</f>
        <v>64</v>
      </c>
      <c r="T4" s="1">
        <v>136</v>
      </c>
      <c r="U4" s="1">
        <v>125</v>
      </c>
    </row>
    <row r="5" spans="1:31" x14ac:dyDescent="0.2">
      <c r="A5" s="9" t="s">
        <v>42</v>
      </c>
      <c r="B5" s="3"/>
      <c r="C5" s="3"/>
      <c r="D5" s="3"/>
      <c r="E5" s="3"/>
      <c r="F5" s="3">
        <v>139</v>
      </c>
      <c r="G5" s="3">
        <f>+T5-F5</f>
        <v>134</v>
      </c>
      <c r="H5" s="3">
        <v>143</v>
      </c>
      <c r="I5" s="3">
        <f>+U5-H5</f>
        <v>142</v>
      </c>
      <c r="T5" s="1">
        <v>273</v>
      </c>
      <c r="U5" s="1">
        <v>285</v>
      </c>
    </row>
    <row r="6" spans="1:31" s="6" customFormat="1" x14ac:dyDescent="0.2">
      <c r="A6" s="14" t="s">
        <v>43</v>
      </c>
      <c r="B6" s="15"/>
      <c r="C6" s="15"/>
      <c r="D6" s="15"/>
      <c r="E6" s="15"/>
      <c r="F6" s="15">
        <f>+SUM(F3:F5)</f>
        <v>2228</v>
      </c>
      <c r="G6" s="15">
        <f>+SUM(G3:G5)</f>
        <v>2315</v>
      </c>
      <c r="H6" s="15">
        <f>+SUM(H3:H5)</f>
        <v>2381</v>
      </c>
      <c r="I6" s="15">
        <f>+SUM(I3:I5)</f>
        <v>2487</v>
      </c>
      <c r="T6" s="15">
        <f>+SUM(T3:T5)</f>
        <v>4543</v>
      </c>
      <c r="U6" s="15">
        <f>+SUM(U3:U5)</f>
        <v>4868</v>
      </c>
    </row>
    <row r="7" spans="1:31" x14ac:dyDescent="0.2">
      <c r="A7" s="9" t="s">
        <v>44</v>
      </c>
      <c r="B7" s="3"/>
      <c r="C7" s="3"/>
      <c r="D7" s="3"/>
      <c r="E7" s="3"/>
      <c r="F7" s="3">
        <v>206</v>
      </c>
      <c r="G7" s="3">
        <f>+T7-F7</f>
        <v>205</v>
      </c>
      <c r="H7" s="3">
        <v>216</v>
      </c>
      <c r="I7" s="3">
        <f>+U7-H7</f>
        <v>220</v>
      </c>
      <c r="T7" s="3">
        <v>411</v>
      </c>
      <c r="U7" s="3">
        <v>436</v>
      </c>
    </row>
    <row r="8" spans="1:31" x14ac:dyDescent="0.2">
      <c r="A8" s="9" t="s">
        <v>45</v>
      </c>
      <c r="B8" s="3"/>
      <c r="C8" s="3"/>
      <c r="D8" s="3"/>
      <c r="E8" s="3"/>
      <c r="F8" s="3">
        <v>54</v>
      </c>
      <c r="G8" s="3">
        <f>+T8-F8</f>
        <v>66</v>
      </c>
      <c r="H8" s="3">
        <v>56</v>
      </c>
      <c r="I8" s="3">
        <f>+U8-H8</f>
        <v>64</v>
      </c>
      <c r="T8" s="3">
        <v>120</v>
      </c>
      <c r="U8" s="3">
        <v>120</v>
      </c>
    </row>
    <row r="9" spans="1:31" x14ac:dyDescent="0.2">
      <c r="A9" s="9" t="s">
        <v>46</v>
      </c>
      <c r="B9" s="3"/>
      <c r="C9" s="3"/>
      <c r="D9" s="3"/>
      <c r="E9" s="3"/>
      <c r="F9" s="3">
        <v>237</v>
      </c>
      <c r="G9" s="3">
        <f>+T9-F9</f>
        <v>273</v>
      </c>
      <c r="H9" s="3">
        <v>238</v>
      </c>
      <c r="I9" s="3">
        <f>+U9-H9</f>
        <v>254</v>
      </c>
      <c r="T9" s="3">
        <v>510</v>
      </c>
      <c r="U9" s="3">
        <v>492</v>
      </c>
    </row>
    <row r="10" spans="1:31" s="6" customFormat="1" x14ac:dyDescent="0.2">
      <c r="A10" s="14" t="s">
        <v>47</v>
      </c>
      <c r="B10" s="15"/>
      <c r="C10" s="15"/>
      <c r="D10" s="15"/>
      <c r="E10" s="15"/>
      <c r="F10" s="15">
        <f>+SUM(F7:F9)</f>
        <v>497</v>
      </c>
      <c r="G10" s="15">
        <f>+SUM(G7:G9)</f>
        <v>544</v>
      </c>
      <c r="H10" s="15">
        <f>+SUM(H7:H9)</f>
        <v>510</v>
      </c>
      <c r="I10" s="15">
        <f>+SUM(I7:I9)</f>
        <v>538</v>
      </c>
      <c r="T10" s="15">
        <f>+SUM(T7:T9)</f>
        <v>1041</v>
      </c>
      <c r="U10" s="15">
        <f>+SUM(U7:U9)</f>
        <v>1048</v>
      </c>
    </row>
    <row r="11" spans="1:31" s="6" customFormat="1" x14ac:dyDescent="0.2">
      <c r="A11" s="14" t="s">
        <v>48</v>
      </c>
      <c r="B11" s="15"/>
      <c r="C11" s="15"/>
      <c r="D11" s="15"/>
      <c r="E11" s="15"/>
      <c r="F11" s="15">
        <f>+F6+F10</f>
        <v>2725</v>
      </c>
      <c r="G11" s="15">
        <f>+G6+G10</f>
        <v>2859</v>
      </c>
      <c r="H11" s="15">
        <f>+H6+H10</f>
        <v>2891</v>
      </c>
      <c r="I11" s="15">
        <f>+I6+I10</f>
        <v>3025</v>
      </c>
      <c r="T11" s="15">
        <f>+T6+T10</f>
        <v>5584</v>
      </c>
      <c r="U11" s="15">
        <f>+U6+U10</f>
        <v>5916</v>
      </c>
    </row>
    <row r="12" spans="1:31" x14ac:dyDescent="0.2">
      <c r="A12" s="9"/>
      <c r="B12" s="3"/>
      <c r="C12" s="3"/>
      <c r="D12" s="3"/>
      <c r="E12" s="3"/>
      <c r="F12" s="3"/>
      <c r="G12" s="3"/>
      <c r="H12" s="3"/>
      <c r="I12" s="3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">
      <c r="A13" s="9" t="s">
        <v>30</v>
      </c>
      <c r="B13" s="3"/>
      <c r="C13" s="3"/>
      <c r="D13" s="3"/>
      <c r="E13" s="3"/>
      <c r="F13" s="3">
        <v>725</v>
      </c>
      <c r="G13" s="3">
        <f>+T13-F13</f>
        <v>783</v>
      </c>
      <c r="H13" s="3">
        <v>771</v>
      </c>
      <c r="I13" s="3">
        <f>+U13-H13</f>
        <v>813</v>
      </c>
      <c r="T13" s="1">
        <v>1508</v>
      </c>
      <c r="U13" s="1">
        <v>1584</v>
      </c>
    </row>
    <row r="14" spans="1:31" x14ac:dyDescent="0.2">
      <c r="A14" s="9" t="s">
        <v>31</v>
      </c>
      <c r="B14" s="3"/>
      <c r="C14" s="3"/>
      <c r="D14" s="3"/>
      <c r="E14" s="3"/>
      <c r="F14" s="3">
        <v>735</v>
      </c>
      <c r="G14" s="3">
        <f>+T14-F14</f>
        <v>731</v>
      </c>
      <c r="H14" s="3">
        <v>775</v>
      </c>
      <c r="I14" s="3">
        <f>+U14-H14</f>
        <v>786</v>
      </c>
      <c r="T14" s="1">
        <v>1466</v>
      </c>
      <c r="U14" s="1">
        <v>1561</v>
      </c>
    </row>
    <row r="15" spans="1:31" x14ac:dyDescent="0.2">
      <c r="A15" s="9" t="s">
        <v>32</v>
      </c>
      <c r="B15" s="3"/>
      <c r="C15" s="3"/>
      <c r="D15" s="3"/>
      <c r="E15" s="3"/>
      <c r="F15" s="3">
        <v>519</v>
      </c>
      <c r="G15" s="3">
        <f>+T15-F15</f>
        <v>533</v>
      </c>
      <c r="H15" s="3">
        <v>540</v>
      </c>
      <c r="I15" s="3">
        <f>+U15-H15</f>
        <v>565</v>
      </c>
      <c r="T15" s="1">
        <v>1052</v>
      </c>
      <c r="U15" s="1">
        <v>1105</v>
      </c>
    </row>
    <row r="16" spans="1:31" x14ac:dyDescent="0.2">
      <c r="A16" s="9" t="s">
        <v>33</v>
      </c>
      <c r="B16" s="3"/>
      <c r="C16" s="3"/>
      <c r="D16" s="3"/>
      <c r="E16" s="3"/>
      <c r="F16" s="3">
        <v>423</v>
      </c>
      <c r="G16" s="3">
        <f>+T16-F16</f>
        <v>452</v>
      </c>
      <c r="H16" s="3">
        <v>458</v>
      </c>
      <c r="I16" s="3">
        <f>+U16-H16</f>
        <v>488</v>
      </c>
      <c r="T16" s="1">
        <v>875</v>
      </c>
      <c r="U16" s="1">
        <v>946</v>
      </c>
    </row>
    <row r="17" spans="1:21" x14ac:dyDescent="0.2">
      <c r="A17" s="9" t="s">
        <v>34</v>
      </c>
      <c r="B17" s="3"/>
      <c r="C17" s="3"/>
      <c r="D17" s="3"/>
      <c r="E17" s="3"/>
      <c r="F17" s="3">
        <v>323</v>
      </c>
      <c r="G17" s="3">
        <f>+T17-F17</f>
        <v>360</v>
      </c>
      <c r="H17" s="3">
        <v>347</v>
      </c>
      <c r="I17" s="3">
        <f>+U17-H17</f>
        <v>373</v>
      </c>
      <c r="T17" s="1">
        <v>683</v>
      </c>
      <c r="U17" s="1">
        <v>720</v>
      </c>
    </row>
    <row r="18" spans="1:21" s="6" customFormat="1" x14ac:dyDescent="0.2">
      <c r="A18" s="6" t="s">
        <v>0</v>
      </c>
      <c r="F18" s="6">
        <f>+SUM(F13:F17)</f>
        <v>2725</v>
      </c>
      <c r="G18" s="6">
        <f>+SUM(G13:G17)</f>
        <v>2859</v>
      </c>
      <c r="H18" s="6">
        <f>+SUM(H13:H17)</f>
        <v>2891</v>
      </c>
      <c r="I18" s="6">
        <f>+SUM(I13:I17)</f>
        <v>3025</v>
      </c>
      <c r="T18" s="6">
        <f>+SUM(T13:T17)</f>
        <v>5584</v>
      </c>
      <c r="U18" s="6">
        <f>+SUM(U13:U17)</f>
        <v>5916</v>
      </c>
    </row>
    <row r="19" spans="1:21" x14ac:dyDescent="0.2">
      <c r="A19" s="1" t="s">
        <v>1</v>
      </c>
      <c r="F19" s="1">
        <v>777</v>
      </c>
      <c r="G19" s="3">
        <f>+T19-F19</f>
        <v>799</v>
      </c>
      <c r="H19" s="1">
        <v>799</v>
      </c>
      <c r="I19" s="1">
        <f>+U19-H19</f>
        <v>827</v>
      </c>
      <c r="T19" s="1">
        <v>1576</v>
      </c>
      <c r="U19" s="1">
        <v>1626</v>
      </c>
    </row>
    <row r="20" spans="1:21" x14ac:dyDescent="0.2">
      <c r="A20" s="1" t="s">
        <v>2</v>
      </c>
      <c r="F20" s="1">
        <f>+F18-F19</f>
        <v>1948</v>
      </c>
      <c r="G20" s="1">
        <f>+G18-G19</f>
        <v>2060</v>
      </c>
      <c r="H20" s="1">
        <f>+H18-H19</f>
        <v>2092</v>
      </c>
      <c r="I20" s="1">
        <f>+I18-I19</f>
        <v>2198</v>
      </c>
      <c r="T20" s="1">
        <f>+T18-T19</f>
        <v>4008</v>
      </c>
      <c r="U20" s="1">
        <f>+U18-U19</f>
        <v>4290</v>
      </c>
    </row>
    <row r="21" spans="1:21" x14ac:dyDescent="0.2">
      <c r="A21" s="1" t="s">
        <v>49</v>
      </c>
      <c r="F21" s="1">
        <v>450</v>
      </c>
      <c r="G21" s="3">
        <f>+T21-F21</f>
        <v>479</v>
      </c>
      <c r="H21" s="1">
        <v>472</v>
      </c>
      <c r="I21" s="1">
        <f>+U21-H21</f>
        <v>497</v>
      </c>
      <c r="T21" s="1">
        <v>929</v>
      </c>
      <c r="U21" s="1">
        <v>969</v>
      </c>
    </row>
    <row r="22" spans="1:21" x14ac:dyDescent="0.2">
      <c r="A22" s="1" t="s">
        <v>50</v>
      </c>
      <c r="F22" s="1">
        <v>862</v>
      </c>
      <c r="G22" s="3">
        <f>+T22-F22</f>
        <v>887</v>
      </c>
      <c r="H22" s="1">
        <v>929</v>
      </c>
      <c r="I22" s="1">
        <f>+U22-H22</f>
        <v>941</v>
      </c>
      <c r="T22" s="1">
        <v>1749</v>
      </c>
      <c r="U22" s="1">
        <v>1870</v>
      </c>
    </row>
    <row r="23" spans="1:21" x14ac:dyDescent="0.2">
      <c r="A23" s="1" t="s">
        <v>3</v>
      </c>
      <c r="F23" s="1">
        <f>+SUM(F21:F22)</f>
        <v>1312</v>
      </c>
      <c r="G23" s="1">
        <f>+SUM(G21:G22)</f>
        <v>1366</v>
      </c>
      <c r="H23" s="1">
        <f>+SUM(H21:H22)</f>
        <v>1401</v>
      </c>
      <c r="I23" s="1">
        <f>+SUM(I21:I22)</f>
        <v>1438</v>
      </c>
      <c r="T23" s="1">
        <f>+SUM(T21:T22)</f>
        <v>2678</v>
      </c>
      <c r="U23" s="1">
        <f>+SUM(U21:U22)</f>
        <v>2839</v>
      </c>
    </row>
    <row r="24" spans="1:21" x14ac:dyDescent="0.2">
      <c r="A24" s="1" t="s">
        <v>4</v>
      </c>
      <c r="F24" s="1">
        <f>+F20-F23</f>
        <v>636</v>
      </c>
      <c r="G24" s="1">
        <f>+G20-G23</f>
        <v>694</v>
      </c>
      <c r="H24" s="1">
        <f>+H20-H23</f>
        <v>691</v>
      </c>
      <c r="I24" s="1">
        <f>+I20-I23</f>
        <v>760</v>
      </c>
      <c r="T24" s="1">
        <f>+T20-T23</f>
        <v>1330</v>
      </c>
      <c r="U24" s="1">
        <f>+U20-U23</f>
        <v>1451</v>
      </c>
    </row>
    <row r="25" spans="1:21" x14ac:dyDescent="0.2">
      <c r="A25" s="1" t="s">
        <v>5</v>
      </c>
      <c r="F25" s="1">
        <v>-11</v>
      </c>
      <c r="G25" s="3">
        <f>+T25-F25</f>
        <v>-16</v>
      </c>
      <c r="H25" s="1">
        <v>-26</v>
      </c>
      <c r="I25" s="1">
        <f>+U25-H25</f>
        <v>-39</v>
      </c>
      <c r="T25" s="1">
        <v>-27</v>
      </c>
      <c r="U25" s="1">
        <v>-65</v>
      </c>
    </row>
    <row r="26" spans="1:21" x14ac:dyDescent="0.2">
      <c r="A26" s="1" t="s">
        <v>6</v>
      </c>
      <c r="F26" s="1">
        <f>+F24+F25</f>
        <v>625</v>
      </c>
      <c r="G26" s="1">
        <f>+G24+G25</f>
        <v>678</v>
      </c>
      <c r="H26" s="1">
        <f>+H24+H25</f>
        <v>665</v>
      </c>
      <c r="I26" s="1">
        <f>+I24+I25</f>
        <v>721</v>
      </c>
      <c r="T26" s="1">
        <f>+T24+T25</f>
        <v>1303</v>
      </c>
      <c r="U26" s="1">
        <f>+U24+U25</f>
        <v>1386</v>
      </c>
    </row>
    <row r="27" spans="1:21" x14ac:dyDescent="0.2">
      <c r="A27" s="1" t="s">
        <v>7</v>
      </c>
      <c r="F27" s="1">
        <v>142</v>
      </c>
      <c r="G27" s="3">
        <f>+T27-F27</f>
        <v>148</v>
      </c>
      <c r="H27" s="1">
        <v>156</v>
      </c>
      <c r="I27" s="1">
        <f>+U27-H27</f>
        <v>143</v>
      </c>
      <c r="T27" s="1">
        <v>290</v>
      </c>
      <c r="U27" s="1">
        <v>299</v>
      </c>
    </row>
    <row r="28" spans="1:21" x14ac:dyDescent="0.2">
      <c r="A28" s="1" t="s">
        <v>8</v>
      </c>
      <c r="F28" s="1">
        <f>+F26-F27</f>
        <v>483</v>
      </c>
      <c r="G28" s="1">
        <f>+G26-G27</f>
        <v>530</v>
      </c>
      <c r="H28" s="1">
        <f>+H26-H27</f>
        <v>509</v>
      </c>
      <c r="I28" s="1">
        <f>+I26-I27</f>
        <v>578</v>
      </c>
      <c r="T28" s="1">
        <f>+T26-T27</f>
        <v>1013</v>
      </c>
      <c r="U28" s="1">
        <f>+U26-U27</f>
        <v>1087</v>
      </c>
    </row>
    <row r="29" spans="1:21" s="5" customFormat="1" x14ac:dyDescent="0.2">
      <c r="A29" s="5" t="s">
        <v>9</v>
      </c>
      <c r="F29" s="5">
        <f>+F28/F30</f>
        <v>1.9475806451612903</v>
      </c>
      <c r="G29" s="5">
        <f>+G28/G30</f>
        <v>2.154471544715447</v>
      </c>
      <c r="H29" s="5">
        <f>+H28/H30</f>
        <v>2.1199500208246564</v>
      </c>
      <c r="I29" s="5">
        <f>+I28/I30</f>
        <v>2.424496644295302</v>
      </c>
      <c r="T29" s="5">
        <f>+T28/T30</f>
        <v>4.1178861788617889</v>
      </c>
      <c r="U29" s="5">
        <f>+U28/U30</f>
        <v>4.5595637583892614</v>
      </c>
    </row>
    <row r="30" spans="1:21" x14ac:dyDescent="0.2">
      <c r="A30" s="1" t="s">
        <v>10</v>
      </c>
      <c r="F30" s="1">
        <v>248</v>
      </c>
      <c r="G30" s="1">
        <f>+T30</f>
        <v>246</v>
      </c>
      <c r="H30" s="1">
        <v>240.1</v>
      </c>
      <c r="I30" s="1">
        <f>+U30</f>
        <v>238.4</v>
      </c>
      <c r="T30" s="1">
        <v>246</v>
      </c>
      <c r="U30" s="1">
        <v>238.4</v>
      </c>
    </row>
    <row r="32" spans="1:21" s="4" customFormat="1" x14ac:dyDescent="0.2">
      <c r="A32" s="4" t="s">
        <v>11</v>
      </c>
      <c r="F32" s="4">
        <f>+F20/F18</f>
        <v>0.71486238532110091</v>
      </c>
      <c r="G32" s="4">
        <f>+G20/G18</f>
        <v>0.72053165442462397</v>
      </c>
      <c r="H32" s="4">
        <f>+H20/H18</f>
        <v>0.72362504323763399</v>
      </c>
      <c r="I32" s="4">
        <f>+I20/I18</f>
        <v>0.72661157024793388</v>
      </c>
      <c r="T32" s="4">
        <f>+T20/T18</f>
        <v>0.7177650429799427</v>
      </c>
      <c r="U32" s="4">
        <f>+U20/U18</f>
        <v>0.72515212981744426</v>
      </c>
    </row>
    <row r="33" spans="1:21" s="4" customFormat="1" x14ac:dyDescent="0.2">
      <c r="A33" s="4" t="s">
        <v>12</v>
      </c>
      <c r="F33" s="4">
        <f>+F24/F18</f>
        <v>0.23339449541284404</v>
      </c>
      <c r="G33" s="4">
        <f>+G24/G18</f>
        <v>0.24274221755858691</v>
      </c>
      <c r="H33" s="4">
        <f>+H24/H18</f>
        <v>0.23901764095468697</v>
      </c>
      <c r="I33" s="4">
        <f>+I24/I18</f>
        <v>0.25123966942148762</v>
      </c>
      <c r="T33" s="4">
        <f>+T24/T18</f>
        <v>0.23818051575931232</v>
      </c>
      <c r="U33" s="4">
        <f>+U24/U18</f>
        <v>0.24526707234617984</v>
      </c>
    </row>
    <row r="34" spans="1:21" s="4" customFormat="1" x14ac:dyDescent="0.2">
      <c r="A34" s="4" t="s">
        <v>13</v>
      </c>
      <c r="F34" s="4">
        <f>+F28/F18</f>
        <v>0.17724770642201834</v>
      </c>
      <c r="G34" s="4">
        <f>+G28/G18</f>
        <v>0.18537950332284014</v>
      </c>
      <c r="H34" s="4">
        <f>+H28/H18</f>
        <v>0.17606364579730197</v>
      </c>
      <c r="I34" s="4">
        <f>+I28/I18</f>
        <v>0.19107438016528924</v>
      </c>
      <c r="T34" s="4">
        <f>+T28/T18</f>
        <v>0.1814111747851003</v>
      </c>
      <c r="U34" s="4">
        <f>+U28/U18</f>
        <v>0.18373901284651792</v>
      </c>
    </row>
    <row r="35" spans="1:21" s="4" customFormat="1" x14ac:dyDescent="0.2">
      <c r="A35" s="4" t="s">
        <v>14</v>
      </c>
      <c r="F35" s="4">
        <f>+F27/F26</f>
        <v>0.22720000000000001</v>
      </c>
      <c r="G35" s="4">
        <f>+G27/G26</f>
        <v>0.21828908554572271</v>
      </c>
      <c r="H35" s="4">
        <f>+H27/H26</f>
        <v>0.23458646616541354</v>
      </c>
      <c r="I35" s="4">
        <f>+I27/I26</f>
        <v>0.19833564493758668</v>
      </c>
      <c r="T35" s="4">
        <f>+T27/T26</f>
        <v>0.22256331542594013</v>
      </c>
      <c r="U35" s="4">
        <f>+U27/U26</f>
        <v>0.21572871572871574</v>
      </c>
    </row>
    <row r="36" spans="1:21" s="4" customFormat="1" x14ac:dyDescent="0.2"/>
    <row r="37" spans="1:21" s="7" customFormat="1" x14ac:dyDescent="0.2">
      <c r="A37" s="7" t="s">
        <v>15</v>
      </c>
      <c r="F37" s="7" t="e">
        <f>+F18/D18-1</f>
        <v>#DIV/0!</v>
      </c>
      <c r="G37" s="7" t="e">
        <f>+G18/E18-1</f>
        <v>#DIV/0!</v>
      </c>
      <c r="H37" s="7">
        <f>+H18/F18-1</f>
        <v>6.0917431192660576E-2</v>
      </c>
      <c r="I37" s="7">
        <f>+I18/G18-1</f>
        <v>5.8062259531304727E-2</v>
      </c>
      <c r="T37" s="7" t="e">
        <f>+T18/S18-1</f>
        <v>#DIV/0!</v>
      </c>
      <c r="U37" s="7">
        <f>+U18/T18-1</f>
        <v>5.9455587392550191E-2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Fidel</dc:creator>
  <cp:lastModifiedBy>Fidel</cp:lastModifiedBy>
  <dcterms:created xsi:type="dcterms:W3CDTF">2025-03-07T08:16:53Z</dcterms:created>
  <dcterms:modified xsi:type="dcterms:W3CDTF">2025-03-07T13:22:33Z</dcterms:modified>
</cp:coreProperties>
</file>