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8_{E2C1ADB9-F257-452C-93FB-66E1318CC040}" xr6:coauthVersionLast="47" xr6:coauthVersionMax="47" xr10:uidLastSave="{00000000-0000-0000-0000-000000000000}"/>
  <bookViews>
    <workbookView xWindow="0" yWindow="0" windowWidth="14400" windowHeight="15600" xr2:uid="{3805871C-BF8E-4C10-8003-050A3614BB6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2" l="1"/>
  <c r="M26" i="2"/>
  <c r="M25" i="2"/>
  <c r="Q27" i="2"/>
  <c r="Q26" i="2"/>
  <c r="Q25" i="2"/>
  <c r="AB27" i="2"/>
  <c r="AB26" i="2"/>
  <c r="AC27" i="2"/>
  <c r="AC26" i="2"/>
  <c r="M23" i="2"/>
  <c r="M21" i="2"/>
  <c r="M20" i="2"/>
  <c r="M19" i="2"/>
  <c r="M18" i="2"/>
  <c r="M14" i="2"/>
  <c r="M15" i="2" s="1"/>
  <c r="M13" i="2"/>
  <c r="M12" i="2"/>
  <c r="M11" i="2"/>
  <c r="M9" i="2"/>
  <c r="M10" i="2" s="1"/>
  <c r="M8" i="2"/>
  <c r="M7" i="2"/>
  <c r="M6" i="2"/>
  <c r="M5" i="2"/>
  <c r="M4" i="2"/>
  <c r="M3" i="2"/>
  <c r="Q23" i="2" s="1"/>
  <c r="Q21" i="2"/>
  <c r="Q20" i="2"/>
  <c r="Q19" i="2"/>
  <c r="Q18" i="2"/>
  <c r="Q15" i="2"/>
  <c r="Q14" i="2"/>
  <c r="Q13" i="2"/>
  <c r="Q12" i="2"/>
  <c r="Q11" i="2"/>
  <c r="Q9" i="2"/>
  <c r="Q10" i="2" s="1"/>
  <c r="Q8" i="2"/>
  <c r="Q7" i="2"/>
  <c r="Q6" i="2"/>
  <c r="Q5" i="2"/>
  <c r="Q4" i="2"/>
  <c r="Q3" i="2"/>
  <c r="J11" i="2"/>
  <c r="J23" i="2"/>
  <c r="J9" i="2"/>
  <c r="J5" i="2"/>
  <c r="J18" i="2" s="1"/>
  <c r="N11" i="2"/>
  <c r="N23" i="2"/>
  <c r="N9" i="2"/>
  <c r="N5" i="2"/>
  <c r="K27" i="2"/>
  <c r="K26" i="2"/>
  <c r="O26" i="2"/>
  <c r="K11" i="2"/>
  <c r="K23" i="2"/>
  <c r="K9" i="2"/>
  <c r="K5" i="2"/>
  <c r="K18" i="2" s="1"/>
  <c r="O11" i="2"/>
  <c r="O27" i="2"/>
  <c r="O23" i="2"/>
  <c r="O9" i="2"/>
  <c r="O5" i="2"/>
  <c r="O18" i="2" s="1"/>
  <c r="L27" i="2"/>
  <c r="P27" i="2"/>
  <c r="L26" i="2"/>
  <c r="P26" i="2"/>
  <c r="L23" i="2"/>
  <c r="P23" i="2"/>
  <c r="L11" i="2"/>
  <c r="L9" i="2"/>
  <c r="L5" i="2"/>
  <c r="L18" i="2" s="1"/>
  <c r="P14" i="2"/>
  <c r="P11" i="2"/>
  <c r="P18" i="2"/>
  <c r="P9" i="2"/>
  <c r="P10" i="2" s="1"/>
  <c r="P19" i="2" s="1"/>
  <c r="P5" i="2"/>
  <c r="AB15" i="2"/>
  <c r="AC15" i="2"/>
  <c r="AB11" i="2"/>
  <c r="AB23" i="2"/>
  <c r="AB9" i="2"/>
  <c r="AB5" i="2"/>
  <c r="AB18" i="2" s="1"/>
  <c r="AC23" i="2"/>
  <c r="AC21" i="2"/>
  <c r="L10" i="1"/>
  <c r="AC20" i="2"/>
  <c r="AC14" i="2"/>
  <c r="AC12" i="2"/>
  <c r="AC11" i="2"/>
  <c r="AC19" i="2"/>
  <c r="AC10" i="2"/>
  <c r="AC9" i="2"/>
  <c r="AC5" i="2"/>
  <c r="AC18" i="2" s="1"/>
  <c r="L8" i="1"/>
  <c r="L7" i="1"/>
  <c r="L5" i="1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T2" i="2"/>
  <c r="J10" i="2" l="1"/>
  <c r="N10" i="2"/>
  <c r="N12" i="2"/>
  <c r="N19" i="2"/>
  <c r="N18" i="2"/>
  <c r="K10" i="2"/>
  <c r="O10" i="2"/>
  <c r="O19" i="2" s="1"/>
  <c r="L10" i="2"/>
  <c r="L12" i="2" s="1"/>
  <c r="L21" i="2" s="1"/>
  <c r="L19" i="2"/>
  <c r="P12" i="2"/>
  <c r="AB10" i="2"/>
  <c r="AB19" i="2" s="1"/>
  <c r="J19" i="2" l="1"/>
  <c r="J12" i="2"/>
  <c r="N21" i="2"/>
  <c r="N14" i="2"/>
  <c r="K19" i="2"/>
  <c r="K12" i="2"/>
  <c r="O12" i="2"/>
  <c r="O21" i="2" s="1"/>
  <c r="L14" i="2"/>
  <c r="L20" i="2" s="1"/>
  <c r="P21" i="2"/>
  <c r="AB12" i="2"/>
  <c r="AB21" i="2" s="1"/>
  <c r="J21" i="2" l="1"/>
  <c r="J14" i="2"/>
  <c r="N20" i="2"/>
  <c r="N15" i="2"/>
  <c r="K21" i="2"/>
  <c r="K14" i="2"/>
  <c r="O14" i="2"/>
  <c r="O20" i="2" s="1"/>
  <c r="L15" i="2"/>
  <c r="P20" i="2"/>
  <c r="P15" i="2"/>
  <c r="AB14" i="2"/>
  <c r="AB20" i="2" s="1"/>
  <c r="J20" i="2" l="1"/>
  <c r="J15" i="2"/>
  <c r="K15" i="2"/>
  <c r="K20" i="2"/>
  <c r="O15" i="2"/>
</calcChain>
</file>

<file path=xl/sharedStrings.xml><?xml version="1.0" encoding="utf-8"?>
<sst xmlns="http://schemas.openxmlformats.org/spreadsheetml/2006/main" count="44" uniqueCount="43">
  <si>
    <t>Revenue</t>
  </si>
  <si>
    <t>COGS</t>
  </si>
  <si>
    <t>Gross profit</t>
  </si>
  <si>
    <t>Operating expense</t>
  </si>
  <si>
    <t>Operating income</t>
  </si>
  <si>
    <t>Interest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</si>
  <si>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</si>
  <si>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</si>
  <si>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</si>
  <si>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</si>
  <si>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</si>
  <si>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</si>
  <si>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</si>
  <si>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</si>
  <si>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</si>
  <si>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</si>
  <si>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</si>
  <si>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</si>
  <si>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</si>
  <si>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</si>
  <si>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</si>
  <si>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</si>
  <si>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</si>
  <si>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</si>
  <si>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</si>
  <si>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</si>
  <si>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</si>
  <si>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</si>
  <si>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</si>
  <si>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</si>
  <si>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</si>
  <si>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</si>
  <si>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</si>
  <si>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</si>
  <si>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</si>
  <si>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</si>
  <si>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</si>
  <si>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Marketing</t>
  </si>
  <si>
    <t>Administrative</t>
  </si>
  <si>
    <t>Fullfilment</t>
  </si>
  <si>
    <t>CFFO</t>
  </si>
  <si>
    <t>CX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</si>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</sst>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\x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3" fontId="1" fillId="0" borderId="0" xfId="0" applyNumberFormat="1" applyFont="1"/>
    <xf numFmtId="165" fontId="0" fillId="0" borderId="0" xfId="0" applyNumberFormat="1"/>
    <xf numFmtId="9" fontId="1" fillId="0" borderId="0" xfId="0" applyNumberFormat="1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0</xdr:row>
      <xdr:rowOff>0</xdr:rowOff>
    </xdr:from>
    <xdr:to>
      <xdr:col>17</xdr:col>
      <xdr:colOff>28575</xdr:colOff>
      <xdr:row>36</xdr:row>
      <xdr:rowOff>9525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0A29C32-3630-F81E-62C3-FF97A57D9BE5}"/>
            </a:ext>
          </a:extLst>
        </xdr:cNvPr>
        <xdr:cNvCxnSpPr/>
      </xdr:nvCxnSpPr>
      <xdr:spPr>
        <a:xfrm>
          <a:off x="10896600" y="0"/>
          <a:ext cx="0" cy="5838825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38100</xdr:colOff>
      <xdr:row>0</xdr:row>
      <xdr:rowOff>0</xdr:rowOff>
    </xdr:from>
    <xdr:to>
      <xdr:col>29</xdr:col>
      <xdr:colOff>38100</xdr:colOff>
      <xdr:row>36</xdr:row>
      <xdr:rowOff>9525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9FD1E48-DBB4-42D1-A9E2-41C13AD66C84}"/>
            </a:ext>
          </a:extLst>
        </xdr:cNvPr>
        <xdr:cNvCxnSpPr/>
      </xdr:nvCxnSpPr>
      <xdr:spPr>
        <a:xfrm>
          <a:off x="18221325" y="0"/>
          <a:ext cx="0" cy="56769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35EC-A864-46EA-9F39-A69B11E6A974}">
  <dimension ref="K3:L10"/>
  <sheetViews>
    <sheetView tabSelected="1" workbookViewId="0">
      <selection activeCell="H20" sqref="H20"/>
    </sheetView>
  </sheetViews>
  <sheetFormatPr defaultRowHeight="12.75" x14ac:dyDescent="0.2"/>
  <cols>
    <col min="1" max="1" width="9.140625" customWidth="1"/>
  </cols>
  <sheetData>
    <row r="3" spans="11:12" x14ac:dyDescent="0.2">
      <c r="K3" t="s">
        <v>32</v>
      </c>
      <c r="L3">
        <v>30.63</v>
      </c>
    </row>
    <row r="4" spans="11:12" x14ac:dyDescent="0.2">
      <c r="K4" t="s">
        <v>10</v>
      </c>
      <c r="L4" s="1">
        <v>263.93763300000001</v>
      </c>
    </row>
    <row r="5" spans="11:12" x14ac:dyDescent="0.2">
      <c r="K5" t="s">
        <v>33</v>
      </c>
      <c r="L5" s="1">
        <f>+L3*L4</f>
        <v>8084.4096987900002</v>
      </c>
    </row>
    <row r="6" spans="11:12" x14ac:dyDescent="0.2">
      <c r="K6" t="s">
        <v>34</v>
      </c>
      <c r="L6" s="1">
        <v>2587.8000000000002</v>
      </c>
    </row>
    <row r="7" spans="11:12" x14ac:dyDescent="0.2">
      <c r="K7" t="s">
        <v>35</v>
      </c>
      <c r="L7" s="1">
        <f>469.8+394.1</f>
        <v>863.90000000000009</v>
      </c>
    </row>
    <row r="8" spans="11:12" x14ac:dyDescent="0.2">
      <c r="K8" t="s">
        <v>36</v>
      </c>
      <c r="L8" s="1">
        <f>+L5-L6+L7</f>
        <v>6360.5096987899997</v>
      </c>
    </row>
    <row r="9" spans="11:12" x14ac:dyDescent="0.2">
      <c r="L9">
        <v>565</v>
      </c>
    </row>
    <row r="10" spans="11:12" x14ac:dyDescent="0.2">
      <c r="L10" s="7">
        <f>+L8/L9</f>
        <v>11.257539289893804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D66B8-91F7-4AD2-A326-0F9084849D94}">
  <dimension ref="A2:AM27"/>
  <sheetViews>
    <sheetView workbookViewId="0">
      <pane xSplit="1" ySplit="2" topLeftCell="AB3" activePane="bottomRight" state="frozen"/>
      <selection pane="topRight" activeCell="B1" sqref="B1"/>
      <selection pane="bottomLeft" activeCell="A3" sqref="A3"/>
      <selection pane="bottomRight" activeCell="AM27" sqref="AD27:AM27"/>
    </sheetView>
  </sheetViews>
  <sheetFormatPr defaultRowHeight="12.75" x14ac:dyDescent="0.2"/>
  <cols>
    <col min="1" max="1" width="16.7109375" style="1" bestFit="1" customWidth="1"/>
    <col min="2" max="16384" width="9.140625" style="1"/>
  </cols>
  <sheetData>
    <row r="2" spans="1:39" x14ac:dyDescent="0.2">
      <c r="A2" s="3"/>
      <c r="B2" s="3" t="s">
        <v>16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17</v>
      </c>
      <c r="H2" s="3" t="s">
        <v>18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  <c r="P2" s="3" t="s">
        <v>30</v>
      </c>
      <c r="Q2" s="3" t="s">
        <v>31</v>
      </c>
      <c r="S2" s="2">
        <v>2014</v>
      </c>
      <c r="T2" s="2">
        <f>+S2+1</f>
        <v>2015</v>
      </c>
      <c r="U2" s="2">
        <f t="shared" ref="U2:AN2" si="0">+T2+1</f>
        <v>2016</v>
      </c>
      <c r="V2" s="2">
        <f t="shared" si="0"/>
        <v>2017</v>
      </c>
      <c r="W2" s="2">
        <f t="shared" si="0"/>
        <v>2018</v>
      </c>
      <c r="X2" s="2">
        <f t="shared" si="0"/>
        <v>2019</v>
      </c>
      <c r="Y2" s="2">
        <f t="shared" si="0"/>
        <v>2020</v>
      </c>
      <c r="Z2" s="2">
        <f t="shared" si="0"/>
        <v>2021</v>
      </c>
      <c r="AA2" s="2">
        <f t="shared" si="0"/>
        <v>2022</v>
      </c>
      <c r="AB2" s="2">
        <f t="shared" si="0"/>
        <v>2023</v>
      </c>
      <c r="AC2" s="2">
        <f t="shared" si="0"/>
        <v>2024</v>
      </c>
      <c r="AD2" s="2">
        <f t="shared" si="0"/>
        <v>2025</v>
      </c>
      <c r="AE2" s="2">
        <f t="shared" si="0"/>
        <v>2026</v>
      </c>
      <c r="AF2" s="2">
        <f t="shared" si="0"/>
        <v>2027</v>
      </c>
      <c r="AG2" s="2">
        <f t="shared" si="0"/>
        <v>2028</v>
      </c>
      <c r="AH2" s="2">
        <f t="shared" si="0"/>
        <v>2029</v>
      </c>
      <c r="AI2" s="2">
        <f t="shared" si="0"/>
        <v>2030</v>
      </c>
      <c r="AJ2" s="2">
        <f t="shared" si="0"/>
        <v>2031</v>
      </c>
      <c r="AK2" s="2">
        <f t="shared" si="0"/>
        <v>2032</v>
      </c>
      <c r="AL2" s="2">
        <f t="shared" si="0"/>
        <v>2033</v>
      </c>
      <c r="AM2" s="2">
        <f t="shared" si="0"/>
        <v>2034</v>
      </c>
    </row>
    <row r="3" spans="1:39" s="6" customFormat="1" x14ac:dyDescent="0.2">
      <c r="A3" s="6" t="s">
        <v>0</v>
      </c>
      <c r="J3" s="6">
        <v>2255.6</v>
      </c>
      <c r="K3" s="6">
        <v>2556.3000000000002</v>
      </c>
      <c r="L3" s="6">
        <v>2274.9</v>
      </c>
      <c r="M3" s="6">
        <f>+AB3-SUM(J3:L3)</f>
        <v>3056.3000000000011</v>
      </c>
      <c r="N3" s="6">
        <v>2241.4</v>
      </c>
      <c r="O3" s="6">
        <v>2643.2</v>
      </c>
      <c r="P3" s="6">
        <v>2388.5</v>
      </c>
      <c r="Q3" s="6">
        <f>+AC3-SUM(N3:P3)</f>
        <v>3299.3999999999996</v>
      </c>
      <c r="AB3" s="6">
        <v>10143.1</v>
      </c>
      <c r="AC3" s="6">
        <v>10572.5</v>
      </c>
    </row>
    <row r="4" spans="1:39" x14ac:dyDescent="0.2">
      <c r="A4" s="1" t="s">
        <v>1</v>
      </c>
      <c r="J4" s="1">
        <v>1401.1</v>
      </c>
      <c r="K4" s="1">
        <v>1518.8</v>
      </c>
      <c r="L4" s="1">
        <v>1440.2</v>
      </c>
      <c r="M4" s="9">
        <f>+AB4-SUM(J4:L4)</f>
        <v>1852.6000000000004</v>
      </c>
      <c r="N4" s="1">
        <v>1384.6</v>
      </c>
      <c r="O4" s="1">
        <v>1544</v>
      </c>
      <c r="P4" s="1">
        <v>1416.7</v>
      </c>
      <c r="Q4" s="9">
        <f>+AC4-SUM(N4:P4)</f>
        <v>1925.1999999999998</v>
      </c>
      <c r="AB4" s="1">
        <v>6212.7</v>
      </c>
      <c r="AC4" s="1">
        <v>6270.5</v>
      </c>
    </row>
    <row r="5" spans="1:39" x14ac:dyDescent="0.2">
      <c r="A5" s="1" t="s">
        <v>2</v>
      </c>
      <c r="J5" s="1">
        <f>+J3-J4</f>
        <v>854.5</v>
      </c>
      <c r="K5" s="1">
        <f>+K3-K4</f>
        <v>1037.5000000000002</v>
      </c>
      <c r="L5" s="1">
        <f>+L3-L4</f>
        <v>834.7</v>
      </c>
      <c r="M5" s="1">
        <f>+M3-M4</f>
        <v>1203.7000000000007</v>
      </c>
      <c r="N5" s="1">
        <f>+N3-N4</f>
        <v>856.80000000000018</v>
      </c>
      <c r="O5" s="1">
        <f>+O3-O4</f>
        <v>1099.1999999999998</v>
      </c>
      <c r="P5" s="1">
        <f>+P3-P4</f>
        <v>971.8</v>
      </c>
      <c r="Q5" s="1">
        <f>+Q3-Q4</f>
        <v>1374.1999999999998</v>
      </c>
      <c r="AB5" s="1">
        <f>+AB3-AB4</f>
        <v>3930.4000000000005</v>
      </c>
      <c r="AC5" s="1">
        <f>+AC3-AC4</f>
        <v>4302</v>
      </c>
    </row>
    <row r="6" spans="1:39" x14ac:dyDescent="0.2">
      <c r="A6" s="1" t="s">
        <v>39</v>
      </c>
      <c r="J6" s="1">
        <v>594.70000000000005</v>
      </c>
      <c r="K6" s="1">
        <v>624.70000000000005</v>
      </c>
      <c r="L6" s="1">
        <v>567.1</v>
      </c>
      <c r="M6" s="9">
        <f t="shared" ref="M6:M8" si="1">+AB6-SUM(J6:L6)</f>
        <v>671.80000000000018</v>
      </c>
      <c r="N6" s="1">
        <v>550.5</v>
      </c>
      <c r="O6" s="1">
        <v>583.5</v>
      </c>
      <c r="P6" s="1">
        <v>567.4</v>
      </c>
      <c r="Q6" s="9">
        <f t="shared" ref="Q6:Q8" si="2">+AC6-SUM(N6:P6)</f>
        <v>717</v>
      </c>
      <c r="AB6" s="1">
        <v>2458.3000000000002</v>
      </c>
      <c r="AC6" s="1">
        <v>2418.4</v>
      </c>
    </row>
    <row r="7" spans="1:39" x14ac:dyDescent="0.2">
      <c r="A7" s="1" t="s">
        <v>37</v>
      </c>
      <c r="J7" s="1">
        <v>164</v>
      </c>
      <c r="K7" s="1">
        <v>175</v>
      </c>
      <c r="L7" s="1">
        <v>159.30000000000001</v>
      </c>
      <c r="M7" s="9">
        <f t="shared" si="1"/>
        <v>254.2</v>
      </c>
      <c r="N7" s="1">
        <v>183.1</v>
      </c>
      <c r="O7" s="1">
        <v>237.3</v>
      </c>
      <c r="P7" s="1">
        <v>216.7</v>
      </c>
      <c r="Q7" s="9">
        <f t="shared" si="2"/>
        <v>342.10000000000014</v>
      </c>
      <c r="AB7" s="1">
        <v>752.5</v>
      </c>
      <c r="AC7" s="1">
        <v>979.2</v>
      </c>
    </row>
    <row r="8" spans="1:39" x14ac:dyDescent="0.2">
      <c r="A8" s="1" t="s">
        <v>38</v>
      </c>
      <c r="J8" s="1">
        <v>118.5</v>
      </c>
      <c r="K8" s="1">
        <v>122.9</v>
      </c>
      <c r="L8" s="1">
        <v>128.4</v>
      </c>
      <c r="M8" s="9">
        <f t="shared" si="1"/>
        <v>121</v>
      </c>
      <c r="N8" s="1">
        <v>122.8</v>
      </c>
      <c r="O8" s="1">
        <v>126.8</v>
      </c>
      <c r="P8" s="1">
        <v>116</v>
      </c>
      <c r="Q8" s="9">
        <f t="shared" si="2"/>
        <v>147.69999999999993</v>
      </c>
      <c r="AB8" s="1">
        <v>490.8</v>
      </c>
      <c r="AC8" s="1">
        <v>513.29999999999995</v>
      </c>
    </row>
    <row r="9" spans="1:39" x14ac:dyDescent="0.2">
      <c r="A9" s="1" t="s">
        <v>3</v>
      </c>
      <c r="J9" s="1">
        <f>+SUM(J6:J8)</f>
        <v>877.2</v>
      </c>
      <c r="K9" s="1">
        <f>+SUM(K6:K8)</f>
        <v>922.6</v>
      </c>
      <c r="L9" s="1">
        <f>+SUM(L6:L8)</f>
        <v>854.80000000000007</v>
      </c>
      <c r="M9" s="1">
        <f>+SUM(M6:M8)</f>
        <v>1047.0000000000002</v>
      </c>
      <c r="N9" s="1">
        <f>+SUM(N6:N8)</f>
        <v>856.4</v>
      </c>
      <c r="O9" s="1">
        <f>+SUM(O6:O8)</f>
        <v>947.59999999999991</v>
      </c>
      <c r="P9" s="1">
        <f>+SUM(P6:P8)</f>
        <v>900.09999999999991</v>
      </c>
      <c r="Q9" s="1">
        <f>+SUM(Q6:Q8)</f>
        <v>1206.8000000000002</v>
      </c>
      <c r="AB9" s="1">
        <f>+SUM(AB6:AB8)</f>
        <v>3701.6000000000004</v>
      </c>
      <c r="AC9" s="1">
        <f>+SUM(AC6:AC8)</f>
        <v>3910.9000000000005</v>
      </c>
    </row>
    <row r="10" spans="1:39" x14ac:dyDescent="0.2">
      <c r="A10" s="1" t="s">
        <v>4</v>
      </c>
      <c r="J10" s="1">
        <f>+J5-J9</f>
        <v>-22.700000000000045</v>
      </c>
      <c r="K10" s="1">
        <f>+K5-K9</f>
        <v>114.9000000000002</v>
      </c>
      <c r="L10" s="1">
        <f>+L5-L9</f>
        <v>-20.100000000000023</v>
      </c>
      <c r="M10" s="1">
        <f>+M5-M9</f>
        <v>156.7000000000005</v>
      </c>
      <c r="N10" s="1">
        <f>+N5-N9</f>
        <v>0.40000000000020464</v>
      </c>
      <c r="O10" s="1">
        <f>+O5-O9</f>
        <v>151.59999999999991</v>
      </c>
      <c r="P10" s="1">
        <f>+P5-P9</f>
        <v>71.700000000000045</v>
      </c>
      <c r="Q10" s="1">
        <f>+Q5-Q9</f>
        <v>167.39999999999964</v>
      </c>
      <c r="AB10" s="1">
        <f>+AB5-AB9</f>
        <v>228.80000000000018</v>
      </c>
      <c r="AC10" s="1">
        <f>+AC5-AC9</f>
        <v>391.09999999999945</v>
      </c>
    </row>
    <row r="11" spans="1:39" x14ac:dyDescent="0.2">
      <c r="A11" s="1" t="s">
        <v>5</v>
      </c>
      <c r="J11" s="1">
        <f>5.3-8.9</f>
        <v>-3.6000000000000005</v>
      </c>
      <c r="K11" s="1">
        <f>20.1-24.1</f>
        <v>-4</v>
      </c>
      <c r="L11" s="1">
        <f>12.8-17.5</f>
        <v>-4.6999999999999993</v>
      </c>
      <c r="M11" s="9">
        <f t="shared" ref="M11:M13" si="3">+AB11-SUM(J11:L11)</f>
        <v>-26.799999999999994</v>
      </c>
      <c r="N11" s="1">
        <f>18-22</f>
        <v>-4</v>
      </c>
      <c r="O11" s="1">
        <f>20.1-24.1</f>
        <v>-4</v>
      </c>
      <c r="P11" s="1">
        <f>17.8-24.2</f>
        <v>-6.3999999999999986</v>
      </c>
      <c r="Q11" s="9">
        <f t="shared" ref="Q11:Q13" si="4">+AC11-SUM(N11:P11)</f>
        <v>-3.3000000000000043</v>
      </c>
      <c r="AB11" s="1">
        <f>46.5-85.6</f>
        <v>-39.099999999999994</v>
      </c>
      <c r="AC11" s="1">
        <f>75.7-93.4</f>
        <v>-17.700000000000003</v>
      </c>
    </row>
    <row r="12" spans="1:39" x14ac:dyDescent="0.2">
      <c r="A12" s="1" t="s">
        <v>6</v>
      </c>
      <c r="J12" s="1">
        <f>+J10+J11</f>
        <v>-26.300000000000047</v>
      </c>
      <c r="K12" s="1">
        <f>+K10+K11</f>
        <v>110.9000000000002</v>
      </c>
      <c r="L12" s="1">
        <f>+L10+L11</f>
        <v>-24.800000000000022</v>
      </c>
      <c r="M12" s="1">
        <f>+M10+M11</f>
        <v>129.90000000000052</v>
      </c>
      <c r="N12" s="1">
        <f>+N10+N11</f>
        <v>-3.5999999999997954</v>
      </c>
      <c r="O12" s="1">
        <f>+O10+O11</f>
        <v>147.59999999999991</v>
      </c>
      <c r="P12" s="1">
        <f>+P10+P11</f>
        <v>65.30000000000004</v>
      </c>
      <c r="Q12" s="1">
        <f>+Q10+Q11</f>
        <v>164.09999999999962</v>
      </c>
      <c r="AB12" s="1">
        <f>+AB10+AB11</f>
        <v>189.70000000000019</v>
      </c>
      <c r="AC12" s="1">
        <f>+AC10+AC11</f>
        <v>373.39999999999947</v>
      </c>
    </row>
    <row r="13" spans="1:39" x14ac:dyDescent="0.2">
      <c r="A13" s="1" t="s">
        <v>7</v>
      </c>
      <c r="J13" s="1">
        <v>13.3</v>
      </c>
      <c r="K13" s="1">
        <v>26.7</v>
      </c>
      <c r="L13" s="1">
        <v>13.5</v>
      </c>
      <c r="M13" s="9">
        <f t="shared" si="3"/>
        <v>16.400000000000006</v>
      </c>
      <c r="N13" s="1">
        <v>3.4</v>
      </c>
      <c r="O13" s="1">
        <v>52.3</v>
      </c>
      <c r="P13" s="1">
        <v>12.5</v>
      </c>
      <c r="Q13" s="9">
        <f t="shared" si="4"/>
        <v>48.700000000000017</v>
      </c>
      <c r="AB13" s="1">
        <v>69.900000000000006</v>
      </c>
      <c r="AC13" s="1">
        <v>116.9</v>
      </c>
    </row>
    <row r="14" spans="1:39" x14ac:dyDescent="0.2">
      <c r="A14" s="1" t="s">
        <v>8</v>
      </c>
      <c r="J14" s="1">
        <f>+J12-J13</f>
        <v>-39.600000000000051</v>
      </c>
      <c r="K14" s="1">
        <f>+K12-K13</f>
        <v>84.200000000000202</v>
      </c>
      <c r="L14" s="1">
        <f>+L12-L13</f>
        <v>-38.300000000000026</v>
      </c>
      <c r="M14" s="1">
        <f>+M12-M13</f>
        <v>113.50000000000051</v>
      </c>
      <c r="N14" s="1">
        <f>+N12-N13</f>
        <v>-6.9999999999997957</v>
      </c>
      <c r="O14" s="1">
        <f>+O12-O13</f>
        <v>95.299999999999912</v>
      </c>
      <c r="P14" s="1">
        <f>+P12-P13</f>
        <v>52.80000000000004</v>
      </c>
      <c r="Q14" s="1">
        <f>+Q12-Q13</f>
        <v>115.39999999999961</v>
      </c>
      <c r="AB14" s="1">
        <f>+AB12-AB13</f>
        <v>119.80000000000018</v>
      </c>
      <c r="AC14" s="1">
        <f>+AC12-AC13</f>
        <v>256.49999999999943</v>
      </c>
    </row>
    <row r="15" spans="1:39" s="5" customFormat="1" x14ac:dyDescent="0.2">
      <c r="A15" s="5" t="s">
        <v>9</v>
      </c>
      <c r="J15" s="5">
        <f>+J14/J16</f>
        <v>-0.15003544416873682</v>
      </c>
      <c r="K15" s="5">
        <f>+K14/K16</f>
        <v>0.31901475755069836</v>
      </c>
      <c r="L15" s="5">
        <f>+L14/L16</f>
        <v>-0.1451100381732984</v>
      </c>
      <c r="M15" s="5">
        <f>+M14/M16</f>
        <v>0.43002583114019405</v>
      </c>
      <c r="N15" s="5">
        <f>+N14/N16</f>
        <v>-2.6521416898513277E-2</v>
      </c>
      <c r="O15" s="5">
        <f>+O14/O16</f>
        <v>0.36107014720405523</v>
      </c>
      <c r="P15" s="5">
        <f>+P14/P16</f>
        <v>0.20004725889164898</v>
      </c>
      <c r="Q15" s="5">
        <f>+Q14/Q16</f>
        <v>0.43722450144121588</v>
      </c>
      <c r="AB15" s="5">
        <f>+AB14/AB16</f>
        <v>0.45389510634885544</v>
      </c>
      <c r="AC15" s="5">
        <f>+AC14/AC16</f>
        <v>0.97182049063840559</v>
      </c>
    </row>
    <row r="16" spans="1:39" x14ac:dyDescent="0.2">
      <c r="A16" s="1" t="s">
        <v>10</v>
      </c>
      <c r="J16" s="1">
        <v>263.93763300000001</v>
      </c>
      <c r="K16" s="1">
        <v>263.93763300000001</v>
      </c>
      <c r="L16" s="1">
        <v>263.93763300000001</v>
      </c>
      <c r="M16" s="1">
        <v>263.93763300000001</v>
      </c>
      <c r="N16" s="1">
        <v>263.93763300000001</v>
      </c>
      <c r="O16" s="1">
        <v>263.93763300000001</v>
      </c>
      <c r="P16" s="1">
        <v>263.93763300000001</v>
      </c>
      <c r="Q16" s="1">
        <v>263.93763300000001</v>
      </c>
      <c r="AB16" s="1">
        <v>263.93763300000001</v>
      </c>
      <c r="AC16" s="1">
        <v>263.93763300000001</v>
      </c>
    </row>
    <row r="18" spans="1:29" s="4" customFormat="1" x14ac:dyDescent="0.2">
      <c r="A18" s="4" t="s">
        <v>11</v>
      </c>
      <c r="J18" s="4">
        <f>+J5/J3</f>
        <v>0.37883489980492996</v>
      </c>
      <c r="K18" s="4">
        <f>+K5/K3</f>
        <v>0.40586003207761223</v>
      </c>
      <c r="L18" s="4">
        <f>+L5/L3</f>
        <v>0.36691722713086289</v>
      </c>
      <c r="M18" s="4">
        <f>+M5/M3</f>
        <v>0.39384222753002007</v>
      </c>
      <c r="N18" s="4">
        <f>+N5/N3</f>
        <v>0.38226108682073712</v>
      </c>
      <c r="O18" s="4">
        <f>+O5/O3</f>
        <v>0.41585956416464886</v>
      </c>
      <c r="P18" s="4">
        <f>+P5/P3</f>
        <v>0.40686623403809918</v>
      </c>
      <c r="Q18" s="4">
        <f>+Q5/Q3</f>
        <v>0.41649996969145903</v>
      </c>
      <c r="AB18" s="4">
        <f>+AB5/AB3</f>
        <v>0.38749494730407869</v>
      </c>
      <c r="AC18" s="4">
        <f>+AC5/AC3</f>
        <v>0.40690470560416175</v>
      </c>
    </row>
    <row r="19" spans="1:29" s="4" customFormat="1" x14ac:dyDescent="0.2">
      <c r="A19" s="4" t="s">
        <v>12</v>
      </c>
      <c r="J19" s="4">
        <f>+J10/J3</f>
        <v>-1.0063841106579201E-2</v>
      </c>
      <c r="K19" s="4">
        <f>+K10/K3</f>
        <v>4.4947776082619489E-2</v>
      </c>
      <c r="L19" s="4">
        <f>+L10/L3</f>
        <v>-8.8355532111301684E-3</v>
      </c>
      <c r="M19" s="4">
        <f>+M10/M3</f>
        <v>5.1271144848346183E-2</v>
      </c>
      <c r="N19" s="4">
        <f>+N10/N3</f>
        <v>1.7845989113955769E-4</v>
      </c>
      <c r="O19" s="4">
        <f>+O10/O3</f>
        <v>5.7354721549636771E-2</v>
      </c>
      <c r="P19" s="4">
        <f>+P10/P3</f>
        <v>3.0018840276324073E-2</v>
      </c>
      <c r="Q19" s="4">
        <f>+Q10/Q3</f>
        <v>5.0736497545008079E-2</v>
      </c>
      <c r="AB19" s="4">
        <f>+AB10/AB3</f>
        <v>2.2557206376748743E-2</v>
      </c>
      <c r="AC19" s="4">
        <f>+AC10/AC3</f>
        <v>3.6992196736817161E-2</v>
      </c>
    </row>
    <row r="20" spans="1:29" s="4" customFormat="1" x14ac:dyDescent="0.2">
      <c r="A20" s="4" t="s">
        <v>13</v>
      </c>
      <c r="J20" s="4">
        <f>+J14/J3</f>
        <v>-1.7556304309274719E-2</v>
      </c>
      <c r="K20" s="4">
        <f>+K14/K3</f>
        <v>3.2938231037045809E-2</v>
      </c>
      <c r="L20" s="4">
        <f>+L14/L3</f>
        <v>-1.6835904874939567E-2</v>
      </c>
      <c r="M20" s="4">
        <f>+M14/M3</f>
        <v>3.7136406766351625E-2</v>
      </c>
      <c r="N20" s="4">
        <f>+N14/N3</f>
        <v>-3.1230480949405708E-3</v>
      </c>
      <c r="O20" s="4">
        <f>+O14/O3</f>
        <v>3.6054782082324426E-2</v>
      </c>
      <c r="P20" s="4">
        <f>+P14/P3</f>
        <v>2.2105924220221913E-2</v>
      </c>
      <c r="Q20" s="4">
        <f>+Q14/Q3</f>
        <v>3.4976056252651884E-2</v>
      </c>
      <c r="AB20" s="4">
        <f>+AB14/AB3</f>
        <v>1.1810984807406038E-2</v>
      </c>
      <c r="AC20" s="4">
        <f>+AC14/AC3</f>
        <v>2.4261054622842226E-2</v>
      </c>
    </row>
    <row r="21" spans="1:29" s="4" customFormat="1" x14ac:dyDescent="0.2">
      <c r="A21" s="4" t="s">
        <v>14</v>
      </c>
      <c r="J21" s="4">
        <f>+J13/J12</f>
        <v>-0.50570342205323104</v>
      </c>
      <c r="K21" s="4">
        <f>+K13/K12</f>
        <v>0.24075743913435482</v>
      </c>
      <c r="L21" s="4">
        <f>+L13/L12</f>
        <v>-0.54435483870967694</v>
      </c>
      <c r="M21" s="4">
        <f>+M13/M12</f>
        <v>0.12625096227867544</v>
      </c>
      <c r="N21" s="4">
        <f>+N13/N12</f>
        <v>-0.94444444444449815</v>
      </c>
      <c r="O21" s="4">
        <f>+O13/O12</f>
        <v>0.35433604336043378</v>
      </c>
      <c r="P21" s="4">
        <f>+P13/P12</f>
        <v>0.1914241960183766</v>
      </c>
      <c r="Q21" s="4">
        <f>+Q13/Q12</f>
        <v>0.29677026203534507</v>
      </c>
      <c r="AB21" s="4">
        <f>+AB13/AB12</f>
        <v>0.36847654190827589</v>
      </c>
      <c r="AC21" s="4">
        <f>+AC13/AC12</f>
        <v>0.31306909480449968</v>
      </c>
    </row>
    <row r="22" spans="1:29" s="4" customFormat="1" x14ac:dyDescent="0.2"/>
    <row r="23" spans="1:29" s="8" customFormat="1" x14ac:dyDescent="0.2">
      <c r="A23" s="8" t="s">
        <v>15</v>
      </c>
      <c r="J23" s="8" t="e">
        <f>+J3/F3-1</f>
        <v>#DIV/0!</v>
      </c>
      <c r="K23" s="8" t="e">
        <f>+K3/G3-1</f>
        <v>#DIV/0!</v>
      </c>
      <c r="L23" s="8" t="e">
        <f>+L3/H3-1</f>
        <v>#DIV/0!</v>
      </c>
      <c r="M23" s="8" t="e">
        <f>+M3/I3-1</f>
        <v>#DIV/0!</v>
      </c>
      <c r="N23" s="8">
        <f>+N3/J3-1</f>
        <v>-6.2954424543357757E-3</v>
      </c>
      <c r="O23" s="8">
        <f>+O3/K3-1</f>
        <v>3.3994445096428239E-2</v>
      </c>
      <c r="P23" s="8">
        <f>+P3/L3-1</f>
        <v>4.9936260934546617E-2</v>
      </c>
      <c r="Q23" s="8">
        <f>+Q3/M3-1</f>
        <v>7.9540621012334611E-2</v>
      </c>
      <c r="AB23" s="8" t="e">
        <f>+AB3/AA3-1</f>
        <v>#DIV/0!</v>
      </c>
      <c r="AC23" s="8">
        <f>+AC3/AB3-1</f>
        <v>4.2334197631887616E-2</v>
      </c>
    </row>
    <row r="25" spans="1:29" x14ac:dyDescent="0.2">
      <c r="A25" s="1" t="s">
        <v>40</v>
      </c>
      <c r="J25" s="1">
        <v>-166.8</v>
      </c>
      <c r="K25" s="1">
        <v>371.1</v>
      </c>
      <c r="L25" s="1">
        <v>-81.099999999999994</v>
      </c>
      <c r="M25" s="1">
        <f>+AB25-SUM(J25:L25)</f>
        <v>826.3</v>
      </c>
      <c r="N25" s="1">
        <v>-102</v>
      </c>
      <c r="O25" s="1">
        <v>481.7</v>
      </c>
      <c r="P25" s="1">
        <v>-91.9</v>
      </c>
      <c r="Q25" s="1">
        <f>+AC25-SUM(N25:P25)</f>
        <v>366.30000000000007</v>
      </c>
      <c r="AB25" s="1">
        <v>949.5</v>
      </c>
      <c r="AC25" s="1">
        <v>654.1</v>
      </c>
    </row>
    <row r="26" spans="1:29" x14ac:dyDescent="0.2">
      <c r="A26" s="1" t="s">
        <v>41</v>
      </c>
      <c r="J26" s="1">
        <v>-17.7</v>
      </c>
      <c r="K26" s="1">
        <f>-22.4-16.8</f>
        <v>-39.200000000000003</v>
      </c>
      <c r="L26" s="1">
        <f>-50.9-19.5</f>
        <v>-70.400000000000006</v>
      </c>
      <c r="M26" s="1">
        <f>+AB26-SUM(J26:L26)</f>
        <v>-135.89999999999998</v>
      </c>
      <c r="N26" s="1">
        <v>-37.6</v>
      </c>
      <c r="O26" s="1">
        <f>-19.2-21.4</f>
        <v>-40.599999999999994</v>
      </c>
      <c r="P26" s="1">
        <f>-17.5-22.6</f>
        <v>-40.1</v>
      </c>
      <c r="Q26" s="1">
        <f>+AC26-SUM(N26:P26)</f>
        <v>-88.500000000000028</v>
      </c>
      <c r="AB26" s="1">
        <f>-190.5-72.7</f>
        <v>-263.2</v>
      </c>
      <c r="AC26" s="1">
        <f>-120.6-86.2</f>
        <v>-206.8</v>
      </c>
    </row>
    <row r="27" spans="1:29" x14ac:dyDescent="0.2">
      <c r="A27" s="1" t="s">
        <v>42</v>
      </c>
      <c r="J27" s="1">
        <v>-19.899999999999999</v>
      </c>
      <c r="K27" s="1">
        <f>+K25+K26</f>
        <v>331.90000000000003</v>
      </c>
      <c r="L27" s="1">
        <f>+L25+L26</f>
        <v>-151.5</v>
      </c>
      <c r="M27" s="1">
        <f>+M25+M26</f>
        <v>690.4</v>
      </c>
      <c r="N27" s="1">
        <v>-21.9</v>
      </c>
      <c r="O27" s="1">
        <f>+O25+O26</f>
        <v>441.1</v>
      </c>
      <c r="P27" s="1">
        <f>+P25+P26</f>
        <v>-132</v>
      </c>
      <c r="Q27" s="1">
        <f>+Q25+Q26</f>
        <v>277.80000000000007</v>
      </c>
      <c r="AB27" s="1">
        <f>+AB25+AB26</f>
        <v>686.3</v>
      </c>
      <c r="AC27" s="1">
        <f>+AC25+AC26</f>
        <v>447.3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2025-03-13T17:25:29Z</dcterms:created>
  <dcterms:modified xsi:type="dcterms:W3CDTF">2025-03-13T18:51:54Z</dcterms:modified>
</cp:coreProperties>
</file>