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945707C9-3C4B-4EEE-8885-F043E172EF2E}" xr6:coauthVersionLast="47" xr6:coauthVersionMax="47" xr10:uidLastSave="{00000000-0000-0000-0000-000000000000}"/>
  <bookViews>
    <workbookView xWindow="90" yWindow="75" windowWidth="14235" windowHeight="15495" activeTab="2" xr2:uid="{BF0ED199-D007-45FC-B46E-A54D5303CC85}"/>
  </bookViews>
  <sheets>
    <sheet name="Main" sheetId="1" r:id="rId1"/>
    <sheet name="Model" sheetId="2" r:id="rId2"/>
    <sheet name="Processing" sheetId="6" r:id="rId3"/>
    <sheet name="Geograpics" sheetId="5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AQ3" i="6"/>
  <c r="X3" i="6"/>
  <c r="X4" i="6"/>
  <c r="AQ4" i="6"/>
  <c r="X5" i="6"/>
  <c r="AQ5" i="6"/>
  <c r="W6" i="6"/>
  <c r="Y6" i="6"/>
  <c r="Z6" i="6"/>
  <c r="AA6" i="6"/>
  <c r="AB6" i="6"/>
  <c r="AC6" i="6"/>
  <c r="AD6" i="6"/>
  <c r="AE6" i="6"/>
  <c r="AQ8" i="6"/>
  <c r="AQ9" i="6"/>
  <c r="AQ10" i="6"/>
  <c r="AA11" i="6"/>
  <c r="AB11" i="6"/>
  <c r="AC11" i="6"/>
  <c r="AD11" i="6"/>
  <c r="AE11" i="6"/>
  <c r="O10" i="2"/>
  <c r="D13" i="6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L2" i="6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P22" i="2"/>
  <c r="P18" i="2"/>
  <c r="P17" i="2"/>
  <c r="P16" i="2"/>
  <c r="P14" i="2"/>
  <c r="P13" i="2"/>
  <c r="P11" i="2"/>
  <c r="P9" i="2"/>
  <c r="P8" i="2"/>
  <c r="Y36" i="2"/>
  <c r="X36" i="2"/>
  <c r="X20" i="2"/>
  <c r="Y20" i="2"/>
  <c r="W32" i="2"/>
  <c r="X10" i="2"/>
  <c r="X12" i="2" s="1"/>
  <c r="X15" i="2" s="1"/>
  <c r="X32" i="2" s="1"/>
  <c r="Y10" i="2"/>
  <c r="Y12" i="2" s="1"/>
  <c r="Y15" i="2" s="1"/>
  <c r="Z36" i="2"/>
  <c r="Z20" i="2"/>
  <c r="Z10" i="2"/>
  <c r="Z12" i="2" s="1"/>
  <c r="Z15" i="2" s="1"/>
  <c r="Z19" i="2" s="1"/>
  <c r="AA36" i="2"/>
  <c r="AA20" i="2"/>
  <c r="AA10" i="2"/>
  <c r="AA12" i="2" s="1"/>
  <c r="AA15" i="2" s="1"/>
  <c r="AA27" i="2" s="1"/>
  <c r="O20" i="2"/>
  <c r="N10" i="2"/>
  <c r="N15" i="2" s="1"/>
  <c r="M10" i="2"/>
  <c r="M12" i="2" s="1"/>
  <c r="L10" i="2"/>
  <c r="L12" i="2" s="1"/>
  <c r="K10" i="2"/>
  <c r="K12" i="2" s="1"/>
  <c r="J10" i="2"/>
  <c r="J12" i="2" s="1"/>
  <c r="I10" i="2"/>
  <c r="I12" i="2" s="1"/>
  <c r="H10" i="2"/>
  <c r="H12" i="2" s="1"/>
  <c r="G10" i="2"/>
  <c r="G12" i="2" s="1"/>
  <c r="F10" i="2"/>
  <c r="F12" i="2" s="1"/>
  <c r="E10" i="2"/>
  <c r="E12" i="2" s="1"/>
  <c r="D10" i="2"/>
  <c r="D12" i="2" s="1"/>
  <c r="C10" i="2"/>
  <c r="C12" i="2" s="1"/>
  <c r="AB36" i="2"/>
  <c r="AC36" i="2"/>
  <c r="AB20" i="2"/>
  <c r="AQ6" i="6" l="1"/>
  <c r="X6" i="6"/>
  <c r="Z37" i="2"/>
  <c r="AC37" i="2"/>
  <c r="AA37" i="2"/>
  <c r="Z32" i="2"/>
  <c r="Y37" i="2"/>
  <c r="X27" i="2"/>
  <c r="Y27" i="2"/>
  <c r="Z27" i="2"/>
  <c r="AB37" i="2"/>
  <c r="Z21" i="2"/>
  <c r="Z28" i="2"/>
  <c r="Y19" i="2"/>
  <c r="X19" i="2"/>
  <c r="X28" i="2" s="1"/>
  <c r="N12" i="2"/>
  <c r="P10" i="2"/>
  <c r="Y32" i="2"/>
  <c r="AA32" i="2"/>
  <c r="AA19" i="2"/>
  <c r="AA28" i="2" s="1"/>
  <c r="O12" i="2"/>
  <c r="O15" i="2"/>
  <c r="O19" i="2" s="1"/>
  <c r="AC20" i="2"/>
  <c r="P20" i="2" s="1"/>
  <c r="C20" i="2"/>
  <c r="D20" i="2"/>
  <c r="E20" i="2"/>
  <c r="F20" i="2"/>
  <c r="G20" i="2"/>
  <c r="H20" i="2"/>
  <c r="I20" i="2"/>
  <c r="J20" i="2"/>
  <c r="K20" i="2"/>
  <c r="L20" i="2"/>
  <c r="M20" i="2"/>
  <c r="N20" i="2"/>
  <c r="I8" i="5"/>
  <c r="I13" i="5" s="1"/>
  <c r="J8" i="5"/>
  <c r="J10" i="5" s="1"/>
  <c r="E3" i="5"/>
  <c r="F3" i="5" s="1"/>
  <c r="G3" i="5" s="1"/>
  <c r="H3" i="5" s="1"/>
  <c r="I3" i="5" s="1"/>
  <c r="J3" i="5" s="1"/>
  <c r="AB10" i="2"/>
  <c r="AB12" i="2" s="1"/>
  <c r="AB15" i="2" s="1"/>
  <c r="AB27" i="2" s="1"/>
  <c r="AC10" i="2"/>
  <c r="X21" i="2" l="1"/>
  <c r="X23" i="2" s="1"/>
  <c r="X29" i="2" s="1"/>
  <c r="P12" i="2"/>
  <c r="Z23" i="2"/>
  <c r="Z29" i="2" s="1"/>
  <c r="Z30" i="2"/>
  <c r="Y21" i="2"/>
  <c r="Y28" i="2"/>
  <c r="AA21" i="2"/>
  <c r="AA23" i="2" s="1"/>
  <c r="AA29" i="2" s="1"/>
  <c r="AB32" i="2"/>
  <c r="AB19" i="2"/>
  <c r="AB28" i="2" s="1"/>
  <c r="O21" i="2"/>
  <c r="O28" i="2"/>
  <c r="J12" i="5"/>
  <c r="J13" i="5"/>
  <c r="I10" i="5"/>
  <c r="J11" i="5"/>
  <c r="I11" i="5"/>
  <c r="I12" i="5"/>
  <c r="AC12" i="2"/>
  <c r="AC15" i="2" s="1"/>
  <c r="AC27" i="2" s="1"/>
  <c r="AA30" i="2" l="1"/>
  <c r="X30" i="2"/>
  <c r="Y23" i="2"/>
  <c r="Y29" i="2" s="1"/>
  <c r="Y30" i="2"/>
  <c r="P19" i="2"/>
  <c r="P32" i="2"/>
  <c r="AB21" i="2"/>
  <c r="AC19" i="2"/>
  <c r="AC28" i="2" s="1"/>
  <c r="AC32" i="2"/>
  <c r="O30" i="2"/>
  <c r="O23" i="2"/>
  <c r="O29" i="2" s="1"/>
  <c r="P28" i="2" l="1"/>
  <c r="P21" i="2"/>
  <c r="AC21" i="2"/>
  <c r="AB23" i="2"/>
  <c r="AB29" i="2" s="1"/>
  <c r="AB30" i="2"/>
  <c r="P30" i="2" l="1"/>
  <c r="P23" i="2"/>
  <c r="P29" i="2" s="1"/>
  <c r="AC23" i="2"/>
  <c r="AC29" i="2" s="1"/>
  <c r="AC30" i="2"/>
  <c r="C37" i="1" l="1"/>
  <c r="K7" i="1" l="1"/>
  <c r="K4" i="1"/>
  <c r="D15" i="2"/>
  <c r="C15" i="2"/>
  <c r="C19" i="2" s="1"/>
  <c r="X2" i="2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E15" i="2"/>
  <c r="E32" i="2" s="1"/>
  <c r="F15" i="2"/>
  <c r="F32" i="2" s="1"/>
  <c r="G15" i="2"/>
  <c r="H15" i="2"/>
  <c r="I15" i="2"/>
  <c r="J15" i="2"/>
  <c r="L15" i="2"/>
  <c r="N19" i="2"/>
  <c r="K15" i="2"/>
  <c r="M15" i="2"/>
  <c r="I32" i="2" l="1"/>
  <c r="J19" i="2"/>
  <c r="J32" i="2"/>
  <c r="G19" i="2"/>
  <c r="G28" i="2" s="1"/>
  <c r="G32" i="2"/>
  <c r="K32" i="2"/>
  <c r="L32" i="2"/>
  <c r="N32" i="2"/>
  <c r="H19" i="2"/>
  <c r="H28" i="2" s="1"/>
  <c r="H32" i="2"/>
  <c r="M19" i="2"/>
  <c r="M28" i="2" s="1"/>
  <c r="M32" i="2"/>
  <c r="O32" i="2"/>
  <c r="D19" i="2"/>
  <c r="C21" i="2"/>
  <c r="C28" i="2"/>
  <c r="E19" i="2"/>
  <c r="N21" i="2"/>
  <c r="N30" i="2" s="1"/>
  <c r="N28" i="2"/>
  <c r="F19" i="2"/>
  <c r="G21" i="2"/>
  <c r="I19" i="2"/>
  <c r="J21" i="2"/>
  <c r="J28" i="2"/>
  <c r="L19" i="2"/>
  <c r="K19" i="2"/>
  <c r="H21" i="2" l="1"/>
  <c r="M21" i="2"/>
  <c r="M23" i="2" s="1"/>
  <c r="M29" i="2" s="1"/>
  <c r="D28" i="2"/>
  <c r="D21" i="2"/>
  <c r="C30" i="2"/>
  <c r="C23" i="2"/>
  <c r="C29" i="2" s="1"/>
  <c r="E28" i="2"/>
  <c r="E21" i="2"/>
  <c r="N23" i="2"/>
  <c r="N29" i="2" s="1"/>
  <c r="L21" i="2"/>
  <c r="L28" i="2"/>
  <c r="K28" i="2"/>
  <c r="K21" i="2"/>
  <c r="F21" i="2"/>
  <c r="F28" i="2"/>
  <c r="G30" i="2"/>
  <c r="G23" i="2"/>
  <c r="G29" i="2" s="1"/>
  <c r="H30" i="2"/>
  <c r="H23" i="2"/>
  <c r="H29" i="2" s="1"/>
  <c r="I28" i="2"/>
  <c r="I21" i="2"/>
  <c r="J23" i="2"/>
  <c r="J29" i="2" s="1"/>
  <c r="J30" i="2"/>
  <c r="M30" i="2" l="1"/>
  <c r="D30" i="2"/>
  <c r="D23" i="2"/>
  <c r="D29" i="2" s="1"/>
  <c r="E30" i="2"/>
  <c r="E23" i="2"/>
  <c r="E29" i="2" s="1"/>
  <c r="K23" i="2"/>
  <c r="K29" i="2" s="1"/>
  <c r="K30" i="2"/>
  <c r="L23" i="2"/>
  <c r="L29" i="2" s="1"/>
  <c r="L30" i="2"/>
  <c r="F30" i="2"/>
  <c r="F23" i="2"/>
  <c r="F29" i="2" s="1"/>
  <c r="I30" i="2"/>
  <c r="I23" i="2"/>
  <c r="I29" i="2" s="1"/>
</calcChain>
</file>

<file path=xl/sharedStrings.xml><?xml version="1.0" encoding="utf-8"?>
<sst xmlns="http://schemas.openxmlformats.org/spreadsheetml/2006/main" count="122" uniqueCount="91">
  <si>
    <t>Price</t>
  </si>
  <si>
    <t>Shares</t>
  </si>
  <si>
    <t>MC</t>
  </si>
  <si>
    <t>Cash</t>
  </si>
  <si>
    <t>Debt</t>
  </si>
  <si>
    <t>EV</t>
  </si>
  <si>
    <t>Digital</t>
  </si>
  <si>
    <t>Unified commerce</t>
  </si>
  <si>
    <t>Platforms</t>
  </si>
  <si>
    <t>Q124</t>
  </si>
  <si>
    <t>Q123</t>
  </si>
  <si>
    <t>Q223</t>
  </si>
  <si>
    <t>Q323</t>
  </si>
  <si>
    <t>Q423</t>
  </si>
  <si>
    <t>Revenue</t>
  </si>
  <si>
    <t>Cost incurred from financial institution</t>
  </si>
  <si>
    <t>Q118</t>
  </si>
  <si>
    <t>Q318</t>
  </si>
  <si>
    <t>Q119</t>
  </si>
  <si>
    <t>Q319</t>
  </si>
  <si>
    <t>Q120</t>
  </si>
  <si>
    <t>Q320</t>
  </si>
  <si>
    <t>Q121</t>
  </si>
  <si>
    <t>Q222</t>
  </si>
  <si>
    <t>Q322</t>
  </si>
  <si>
    <t>Q422</t>
  </si>
  <si>
    <t>Q321</t>
  </si>
  <si>
    <t>Q122</t>
  </si>
  <si>
    <t>Operating margin</t>
  </si>
  <si>
    <t>Net margin</t>
  </si>
  <si>
    <t>Tax rate</t>
  </si>
  <si>
    <t>Other operating expense</t>
  </si>
  <si>
    <t>Interest income</t>
  </si>
  <si>
    <t>Interest expense</t>
  </si>
  <si>
    <t>Pretax</t>
  </si>
  <si>
    <t>Taxes</t>
  </si>
  <si>
    <t>Net income</t>
  </si>
  <si>
    <t>EPS</t>
  </si>
  <si>
    <t>Benefit cost</t>
  </si>
  <si>
    <t>Q218</t>
  </si>
  <si>
    <t>Q418</t>
  </si>
  <si>
    <t>Q219</t>
  </si>
  <si>
    <t>Q419</t>
  </si>
  <si>
    <t>Q220</t>
  </si>
  <si>
    <t>Q420</t>
  </si>
  <si>
    <t>Q421</t>
  </si>
  <si>
    <t>Q224</t>
  </si>
  <si>
    <t>Q324</t>
  </si>
  <si>
    <t>Q424</t>
  </si>
  <si>
    <t>H124</t>
  </si>
  <si>
    <t xml:space="preserve">Revenue y/y </t>
  </si>
  <si>
    <t>Stripe valuation €47B (15-03-2023)</t>
  </si>
  <si>
    <t>100 businesses now handle more than $1B on Stripe every year</t>
  </si>
  <si>
    <t>AI companies: OpenAI, Anthropic, Midjourney, Copy.ai, Coreweave</t>
  </si>
  <si>
    <t>Competitor: Stripe</t>
  </si>
  <si>
    <t>$817B in payments processed by businesses on Stripe in 2022</t>
  </si>
  <si>
    <t>Billing Applications is now Stripe's second product</t>
  </si>
  <si>
    <t>Partners: Nvidia, Amazon, Ford, Salesforce, BMW, Maersk</t>
  </si>
  <si>
    <t>Competitors: Stripe, PayPal, Venmo</t>
  </si>
  <si>
    <t>Total</t>
  </si>
  <si>
    <t>Q125</t>
  </si>
  <si>
    <t>Q221</t>
  </si>
  <si>
    <t>Rev Digital (thousands)</t>
  </si>
  <si>
    <t>Rev Unified commerce (thousands)</t>
  </si>
  <si>
    <t>Rev Platforms (thousands)</t>
  </si>
  <si>
    <t>Total (thousands)</t>
  </si>
  <si>
    <t>Total procesed volume</t>
  </si>
  <si>
    <t>Non-interest</t>
  </si>
  <si>
    <t>Revenue ex-IntExp</t>
  </si>
  <si>
    <t>COGS</t>
  </si>
  <si>
    <t>Main</t>
  </si>
  <si>
    <r>
      <t>Processing Fees:</t>
    </r>
    <r>
      <rPr>
        <sz val="10"/>
        <color theme="1"/>
        <rFont val="arial"/>
        <family val="2"/>
      </rPr>
      <t xml:space="preserve"> Fixed fees per transaction for platform use, recognized when a transaction is initiated.</t>
    </r>
  </si>
  <si>
    <r>
      <t>Sales of Goods:</t>
    </r>
    <r>
      <rPr>
        <sz val="10"/>
        <color theme="1"/>
        <rFont val="arial"/>
        <family val="2"/>
      </rPr>
      <t xml:space="preserve"> Revenue from POS terminal and accessory sales, recognized upon transfer of control.</t>
    </r>
  </si>
  <si>
    <r>
      <t>Settlement Fees:</t>
    </r>
    <r>
      <rPr>
        <sz val="10"/>
        <color theme="1"/>
        <rFont val="arial"/>
        <family val="2"/>
      </rPr>
      <t xml:space="preserve"> Percentage-based fees from merchants for acquiring services, recognized upon transaction settlement.</t>
    </r>
  </si>
  <si>
    <t>These cover Adyen's costs plus a markup.</t>
  </si>
  <si>
    <r>
      <t>Other Services:</t>
    </r>
    <r>
      <rPr>
        <sz val="10"/>
        <color theme="1"/>
        <rFont val="arial"/>
        <family val="2"/>
      </rPr>
      <t xml:space="preserve"> Point-in-time recognition for foreign exchange, third-party commissions, and issuing services.</t>
    </r>
  </si>
  <si>
    <t>Revenue recognized over time includes amortization of deferred revenue from merchant contracts and terminal service fees.</t>
  </si>
  <si>
    <t>Settlement</t>
  </si>
  <si>
    <t>Processing</t>
  </si>
  <si>
    <t>Sale of goods</t>
  </si>
  <si>
    <t>Other services</t>
  </si>
  <si>
    <t>EMEA</t>
  </si>
  <si>
    <t>North America</t>
  </si>
  <si>
    <t>Asia-Pacific</t>
  </si>
  <si>
    <t>Latin America</t>
  </si>
  <si>
    <t>Wages and Salaries</t>
  </si>
  <si>
    <t>Operating income</t>
  </si>
  <si>
    <t>CFFO</t>
  </si>
  <si>
    <t>CapEx</t>
  </si>
  <si>
    <t>FCF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</si>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</sst>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left" indent="1"/>
    </xf>
    <xf numFmtId="0" fontId="0" fillId="0" borderId="0" xfId="0" applyFont="1" applyAlignment="1">
      <alignment horizontal="right"/>
    </xf>
    <xf numFmtId="3" fontId="0" fillId="0" borderId="0" xfId="0" applyNumberFormat="1" applyAlignment="1"/>
    <xf numFmtId="3" fontId="0" fillId="0" borderId="0" xfId="0" applyNumberFormat="1" applyFont="1"/>
    <xf numFmtId="0" fontId="0" fillId="0" borderId="0" xfId="0" applyAlignment="1">
      <alignment horizontal="left" indent="1"/>
    </xf>
    <xf numFmtId="3" fontId="0" fillId="0" borderId="0" xfId="0" applyNumberFormat="1" applyFont="1" applyAlignment="1"/>
    <xf numFmtId="3" fontId="0" fillId="0" borderId="0" xfId="0" applyNumberFormat="1" applyFont="1" applyAlignment="1">
      <alignment horizontal="righ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19050</xdr:colOff>
      <xdr:row>0</xdr:row>
      <xdr:rowOff>0</xdr:rowOff>
    </xdr:from>
    <xdr:to>
      <xdr:col>29</xdr:col>
      <xdr:colOff>19050</xdr:colOff>
      <xdr:row>67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95C8D09-B5DF-4395-B2E5-1B95BF6DA72E}"/>
            </a:ext>
          </a:extLst>
        </xdr:cNvPr>
        <xdr:cNvCxnSpPr/>
      </xdr:nvCxnSpPr>
      <xdr:spPr>
        <a:xfrm>
          <a:off x="27879675" y="0"/>
          <a:ext cx="0" cy="12573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0</xdr:row>
      <xdr:rowOff>19050</xdr:rowOff>
    </xdr:from>
    <xdr:to>
      <xdr:col>16</xdr:col>
      <xdr:colOff>9525</xdr:colOff>
      <xdr:row>67</xdr:row>
      <xdr:rowOff>133350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1B95315-27AE-4B2C-90BF-3ED6D1C7D433}"/>
            </a:ext>
          </a:extLst>
        </xdr:cNvPr>
        <xdr:cNvCxnSpPr/>
      </xdr:nvCxnSpPr>
      <xdr:spPr>
        <a:xfrm>
          <a:off x="19945350" y="19050"/>
          <a:ext cx="0" cy="12420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</xdr:colOff>
      <xdr:row>0</xdr:row>
      <xdr:rowOff>28575</xdr:rowOff>
    </xdr:from>
    <xdr:to>
      <xdr:col>31</xdr:col>
      <xdr:colOff>9525</xdr:colOff>
      <xdr:row>42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6B0FD78-863E-F698-C1AF-7083786FEDA5}"/>
            </a:ext>
          </a:extLst>
        </xdr:cNvPr>
        <xdr:cNvCxnSpPr/>
      </xdr:nvCxnSpPr>
      <xdr:spPr>
        <a:xfrm>
          <a:off x="18735675" y="28575"/>
          <a:ext cx="0" cy="7239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19050</xdr:colOff>
      <xdr:row>0</xdr:row>
      <xdr:rowOff>0</xdr:rowOff>
    </xdr:from>
    <xdr:to>
      <xdr:col>43</xdr:col>
      <xdr:colOff>19050</xdr:colOff>
      <xdr:row>42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FBC38B-380F-4E21-883A-502F1D25B5B9}"/>
            </a:ext>
          </a:extLst>
        </xdr:cNvPr>
        <xdr:cNvCxnSpPr/>
      </xdr:nvCxnSpPr>
      <xdr:spPr>
        <a:xfrm>
          <a:off x="26060400" y="0"/>
          <a:ext cx="0" cy="7239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C715-CA74-474D-B7A2-ECB42BBB2A89}">
  <dimension ref="A1:L41"/>
  <sheetViews>
    <sheetView workbookViewId="0">
      <selection activeCell="J24" sqref="J24"/>
    </sheetView>
  </sheetViews>
  <sheetFormatPr defaultRowHeight="12.75" x14ac:dyDescent="0.2"/>
  <cols>
    <col min="1" max="1" width="5.42578125" bestFit="1" customWidth="1"/>
  </cols>
  <sheetData>
    <row r="1" spans="1:12" x14ac:dyDescent="0.2">
      <c r="A1" s="1"/>
    </row>
    <row r="2" spans="1:12" x14ac:dyDescent="0.2">
      <c r="A2" s="1"/>
      <c r="J2" t="s">
        <v>0</v>
      </c>
      <c r="K2" s="2">
        <v>1237</v>
      </c>
    </row>
    <row r="3" spans="1:12" x14ac:dyDescent="0.2">
      <c r="J3" t="s">
        <v>1</v>
      </c>
      <c r="K3" s="2">
        <v>31.148</v>
      </c>
      <c r="L3" s="3" t="s">
        <v>49</v>
      </c>
    </row>
    <row r="4" spans="1:12" x14ac:dyDescent="0.2">
      <c r="J4" t="s">
        <v>2</v>
      </c>
      <c r="K4" s="2">
        <f>+K2*K3</f>
        <v>38530.076000000001</v>
      </c>
      <c r="L4" s="3"/>
    </row>
    <row r="5" spans="1:12" x14ac:dyDescent="0.2">
      <c r="J5" t="s">
        <v>3</v>
      </c>
      <c r="K5" s="2">
        <v>8735.2720000000008</v>
      </c>
      <c r="L5" s="3" t="s">
        <v>49</v>
      </c>
    </row>
    <row r="6" spans="1:12" x14ac:dyDescent="0.2">
      <c r="J6" t="s">
        <v>4</v>
      </c>
      <c r="K6" s="2">
        <v>0</v>
      </c>
      <c r="L6" s="3" t="s">
        <v>49</v>
      </c>
    </row>
    <row r="7" spans="1:12" x14ac:dyDescent="0.2">
      <c r="J7" t="s">
        <v>5</v>
      </c>
      <c r="K7" s="2">
        <f>+K4-K5+K6</f>
        <v>29794.804</v>
      </c>
    </row>
    <row r="8" spans="1:12" x14ac:dyDescent="0.2">
      <c r="K8" s="2"/>
    </row>
    <row r="9" spans="1:12" x14ac:dyDescent="0.2">
      <c r="K9" s="2"/>
    </row>
    <row r="10" spans="1:12" x14ac:dyDescent="0.2">
      <c r="B10" s="4" t="s">
        <v>73</v>
      </c>
      <c r="K10" s="5"/>
    </row>
    <row r="11" spans="1:12" x14ac:dyDescent="0.2">
      <c r="B11" s="16" t="s">
        <v>74</v>
      </c>
    </row>
    <row r="12" spans="1:12" x14ac:dyDescent="0.2">
      <c r="B12" s="4" t="s">
        <v>71</v>
      </c>
    </row>
    <row r="13" spans="1:12" x14ac:dyDescent="0.2">
      <c r="B13" s="4" t="s">
        <v>72</v>
      </c>
    </row>
    <row r="14" spans="1:12" x14ac:dyDescent="0.2">
      <c r="B14" s="4" t="s">
        <v>75</v>
      </c>
    </row>
    <row r="15" spans="1:12" x14ac:dyDescent="0.2">
      <c r="B15" s="16" t="s">
        <v>76</v>
      </c>
    </row>
    <row r="23" spans="2:2" x14ac:dyDescent="0.2">
      <c r="B23" t="s">
        <v>58</v>
      </c>
    </row>
    <row r="25" spans="2:2" x14ac:dyDescent="0.2">
      <c r="B25" s="4" t="s">
        <v>54</v>
      </c>
    </row>
    <row r="26" spans="2:2" x14ac:dyDescent="0.2">
      <c r="B26" t="s">
        <v>51</v>
      </c>
    </row>
    <row r="27" spans="2:2" x14ac:dyDescent="0.2">
      <c r="B27" t="s">
        <v>52</v>
      </c>
    </row>
    <row r="28" spans="2:2" x14ac:dyDescent="0.2">
      <c r="B28" t="s">
        <v>55</v>
      </c>
    </row>
    <row r="30" spans="2:2" x14ac:dyDescent="0.2">
      <c r="B30" t="s">
        <v>57</v>
      </c>
    </row>
    <row r="31" spans="2:2" x14ac:dyDescent="0.2">
      <c r="B31" t="s">
        <v>53</v>
      </c>
    </row>
    <row r="33" spans="2:3" x14ac:dyDescent="0.2">
      <c r="B33" t="s">
        <v>56</v>
      </c>
    </row>
    <row r="35" spans="2:3" x14ac:dyDescent="0.2">
      <c r="B35" t="s">
        <v>0</v>
      </c>
      <c r="C35">
        <v>38.78</v>
      </c>
    </row>
    <row r="36" spans="2:3" x14ac:dyDescent="0.2">
      <c r="B36" t="s">
        <v>1</v>
      </c>
      <c r="C36" s="2">
        <v>2500</v>
      </c>
    </row>
    <row r="37" spans="2:3" x14ac:dyDescent="0.2">
      <c r="B37" t="s">
        <v>2</v>
      </c>
      <c r="C37" s="2">
        <f>+C35*C36</f>
        <v>96950</v>
      </c>
    </row>
    <row r="38" spans="2:3" x14ac:dyDescent="0.2">
      <c r="B38" t="s">
        <v>3</v>
      </c>
      <c r="C38" s="2"/>
    </row>
    <row r="39" spans="2:3" x14ac:dyDescent="0.2">
      <c r="B39" t="s">
        <v>4</v>
      </c>
      <c r="C39" s="2"/>
    </row>
    <row r="40" spans="2:3" x14ac:dyDescent="0.2">
      <c r="B40" t="s">
        <v>5</v>
      </c>
      <c r="C40" s="2">
        <v>65000</v>
      </c>
    </row>
    <row r="41" spans="2:3" x14ac:dyDescent="0.2">
      <c r="C41" s="2">
        <v>9100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8188E-A419-4852-AFF3-BB774E8760D0}">
  <dimension ref="A1:AL37"/>
  <sheetViews>
    <sheetView workbookViewId="0">
      <pane xSplit="2" ySplit="2" topLeftCell="I3" activePane="bottomRight" state="frozen"/>
      <selection pane="topRight" activeCell="B1" sqref="B1"/>
      <selection pane="bottomLeft" activeCell="A4" sqref="A4"/>
      <selection pane="bottomRight" activeCell="R13" sqref="R13"/>
    </sheetView>
  </sheetViews>
  <sheetFormatPr defaultRowHeight="12.75" x14ac:dyDescent="0.2"/>
  <cols>
    <col min="1" max="1" width="5" style="2" bestFit="1" customWidth="1"/>
    <col min="2" max="2" width="32.7109375" bestFit="1" customWidth="1"/>
    <col min="3" max="3" width="9.7109375" style="2" customWidth="1"/>
    <col min="4" max="28" width="9.140625" style="2"/>
    <col min="29" max="29" width="9.140625" style="2" customWidth="1"/>
    <col min="30" max="16384" width="9.140625" style="2"/>
  </cols>
  <sheetData>
    <row r="1" spans="1:38" customFormat="1" x14ac:dyDescent="0.2">
      <c r="A1" s="19" t="s">
        <v>70</v>
      </c>
      <c r="B1" s="1"/>
    </row>
    <row r="2" spans="1:38" s="3" customFormat="1" x14ac:dyDescent="0.2">
      <c r="B2" s="1"/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61</v>
      </c>
      <c r="J2" s="3" t="s">
        <v>45</v>
      </c>
      <c r="K2" s="3" t="s">
        <v>23</v>
      </c>
      <c r="L2" s="3" t="s">
        <v>25</v>
      </c>
      <c r="M2" s="3" t="s">
        <v>11</v>
      </c>
      <c r="N2" s="3" t="s">
        <v>13</v>
      </c>
      <c r="O2" s="3" t="s">
        <v>46</v>
      </c>
      <c r="P2" s="3" t="s">
        <v>48</v>
      </c>
      <c r="V2" s="3">
        <v>2017</v>
      </c>
      <c r="W2" s="3">
        <v>2018</v>
      </c>
      <c r="X2" s="3">
        <f>+W2+1</f>
        <v>2019</v>
      </c>
      <c r="Y2" s="3">
        <f>+X2+1</f>
        <v>2020</v>
      </c>
      <c r="Z2" s="3">
        <f>+Y2+1</f>
        <v>2021</v>
      </c>
      <c r="AA2" s="3">
        <f>+Z2+1</f>
        <v>2022</v>
      </c>
      <c r="AB2" s="3">
        <f>+AA2+1</f>
        <v>2023</v>
      </c>
      <c r="AC2" s="3">
        <f>+AB2+1</f>
        <v>2024</v>
      </c>
      <c r="AD2" s="3">
        <f>+AC2+1</f>
        <v>2025</v>
      </c>
      <c r="AE2" s="3">
        <f>+AD2+1</f>
        <v>2026</v>
      </c>
      <c r="AF2" s="3">
        <f>+AE2+1</f>
        <v>2027</v>
      </c>
      <c r="AG2" s="3">
        <f>+AF2+1</f>
        <v>2028</v>
      </c>
      <c r="AH2" s="3">
        <f>+AG2+1</f>
        <v>2029</v>
      </c>
      <c r="AI2" s="3">
        <f>+AH2+1</f>
        <v>2030</v>
      </c>
      <c r="AJ2" s="3">
        <f>+AI2+1</f>
        <v>2031</v>
      </c>
      <c r="AK2" s="3">
        <f>+AJ2+1</f>
        <v>2032</v>
      </c>
      <c r="AL2" s="3">
        <f>+AK2+1</f>
        <v>2033</v>
      </c>
    </row>
    <row r="3" spans="1:38" s="10" customFormat="1" x14ac:dyDescent="0.2">
      <c r="B3" s="14" t="s">
        <v>77</v>
      </c>
      <c r="C3" s="2"/>
      <c r="AB3" s="10">
        <v>1081.7909999999999</v>
      </c>
      <c r="AC3" s="10">
        <v>1311.7059999999999</v>
      </c>
    </row>
    <row r="4" spans="1:38" s="10" customFormat="1" x14ac:dyDescent="0.2">
      <c r="B4" s="14" t="s">
        <v>78</v>
      </c>
      <c r="C4" s="2"/>
      <c r="AB4" s="10">
        <v>460.85300000000001</v>
      </c>
      <c r="AC4" s="10">
        <v>547.26499999999999</v>
      </c>
    </row>
    <row r="5" spans="1:38" s="10" customFormat="1" x14ac:dyDescent="0.2">
      <c r="B5" s="14" t="s">
        <v>79</v>
      </c>
      <c r="C5" s="2"/>
      <c r="AB5" s="10">
        <v>84.132999999999996</v>
      </c>
      <c r="AC5" s="10">
        <v>94.933999999999997</v>
      </c>
    </row>
    <row r="6" spans="1:38" s="10" customFormat="1" x14ac:dyDescent="0.2">
      <c r="B6" s="14" t="s">
        <v>80</v>
      </c>
      <c r="C6" s="2"/>
      <c r="AB6" s="10">
        <v>236.62899999999999</v>
      </c>
      <c r="AC6" s="10">
        <v>271.69400000000002</v>
      </c>
    </row>
    <row r="7" spans="1:38" s="3" customFormat="1" x14ac:dyDescent="0.2">
      <c r="B7" s="12"/>
      <c r="C7"/>
      <c r="O7" s="11"/>
      <c r="P7" s="11"/>
    </row>
    <row r="8" spans="1:38" s="18" customFormat="1" x14ac:dyDescent="0.2">
      <c r="B8" s="17" t="s">
        <v>67</v>
      </c>
      <c r="C8" s="15">
        <v>697.08100000000002</v>
      </c>
      <c r="D8" s="15">
        <v>955.86699999999996</v>
      </c>
      <c r="E8" s="15">
        <v>1144.1559999999999</v>
      </c>
      <c r="F8" s="15">
        <v>1512.6179999999999</v>
      </c>
      <c r="G8" s="15">
        <v>1560.0740000000001</v>
      </c>
      <c r="H8" s="15">
        <v>2081.3150000000001</v>
      </c>
      <c r="I8" s="15">
        <v>2554.2310000000002</v>
      </c>
      <c r="J8" s="15">
        <v>3441.1880000000001</v>
      </c>
      <c r="K8" s="15">
        <v>3947.4810000000002</v>
      </c>
      <c r="L8" s="15">
        <v>4988.13</v>
      </c>
      <c r="M8" s="18">
        <v>853.55</v>
      </c>
      <c r="N8" s="15">
        <v>1009.856</v>
      </c>
      <c r="O8" s="18">
        <v>1029.0899999999999</v>
      </c>
      <c r="P8" s="18">
        <f>+AC8-O8</f>
        <v>1197.5110000000002</v>
      </c>
      <c r="X8" s="18">
        <v>2656.7739999999999</v>
      </c>
      <c r="Y8" s="18">
        <v>3641.3890000000001</v>
      </c>
      <c r="Z8" s="18">
        <v>5995.4189999999999</v>
      </c>
      <c r="AA8" s="18">
        <v>8935.6110000000008</v>
      </c>
      <c r="AB8" s="18">
        <v>1863.4059999999999</v>
      </c>
      <c r="AC8" s="18">
        <v>2226.6010000000001</v>
      </c>
    </row>
    <row r="9" spans="1:38" s="10" customFormat="1" x14ac:dyDescent="0.2">
      <c r="B9" s="14" t="s">
        <v>32</v>
      </c>
      <c r="C9" s="2"/>
      <c r="O9" s="10">
        <v>13.159000000000001</v>
      </c>
      <c r="P9" s="10">
        <f>+AC9-O9</f>
        <v>13.944000000000001</v>
      </c>
      <c r="AC9" s="10">
        <v>27.103000000000002</v>
      </c>
    </row>
    <row r="10" spans="1:38" s="7" customFormat="1" x14ac:dyDescent="0.2">
      <c r="B10" s="7" t="s">
        <v>14</v>
      </c>
      <c r="C10" s="7">
        <f>+C8+C9</f>
        <v>697.08100000000002</v>
      </c>
      <c r="D10" s="7">
        <f>+D8+D9</f>
        <v>955.86699999999996</v>
      </c>
      <c r="E10" s="7">
        <f>+E8+E9</f>
        <v>1144.1559999999999</v>
      </c>
      <c r="F10" s="7">
        <f>+F8+F9</f>
        <v>1512.6179999999999</v>
      </c>
      <c r="G10" s="7">
        <f>+G8+G9</f>
        <v>1560.0740000000001</v>
      </c>
      <c r="H10" s="7">
        <f>+H8+H9</f>
        <v>2081.3150000000001</v>
      </c>
      <c r="I10" s="7">
        <f>+I8+I9</f>
        <v>2554.2310000000002</v>
      </c>
      <c r="J10" s="7">
        <f>+J8+J9</f>
        <v>3441.1880000000001</v>
      </c>
      <c r="K10" s="7">
        <f>+K8+K9</f>
        <v>3947.4810000000002</v>
      </c>
      <c r="L10" s="7">
        <f>+L8+L9</f>
        <v>4988.13</v>
      </c>
      <c r="M10" s="7">
        <f>+M8+M9</f>
        <v>853.55</v>
      </c>
      <c r="N10" s="7">
        <f>+N8+N9</f>
        <v>1009.856</v>
      </c>
      <c r="O10" s="7">
        <f>+O8+O9</f>
        <v>1042.249</v>
      </c>
      <c r="P10" s="7">
        <f t="shared" ref="P10" si="0">+P8+P9</f>
        <v>1211.4550000000002</v>
      </c>
      <c r="X10" s="7">
        <f>+SUM(X8:X9)</f>
        <v>2656.7739999999999</v>
      </c>
      <c r="Y10" s="7">
        <f>+SUM(Y8:Y9)</f>
        <v>3641.3890000000001</v>
      </c>
      <c r="Z10" s="7">
        <f>+SUM(Z8:Z9)</f>
        <v>5995.4189999999999</v>
      </c>
      <c r="AA10" s="7">
        <f>+SUM(AA8:AA9)</f>
        <v>8935.6110000000008</v>
      </c>
      <c r="AB10" s="7">
        <f>+SUM(AB8:AB9)</f>
        <v>1863.4059999999999</v>
      </c>
      <c r="AC10" s="7">
        <f>+SUM(AC8:AC9)</f>
        <v>2253.7040000000002</v>
      </c>
    </row>
    <row r="11" spans="1:38" s="15" customFormat="1" x14ac:dyDescent="0.2">
      <c r="B11" s="15" t="s">
        <v>33</v>
      </c>
      <c r="O11" s="15">
        <v>-10.63</v>
      </c>
      <c r="P11" s="15">
        <f>+AC11-O11</f>
        <v>-8.1739999999999977</v>
      </c>
      <c r="AC11" s="15">
        <v>-18.803999999999998</v>
      </c>
    </row>
    <row r="12" spans="1:38" s="7" customFormat="1" x14ac:dyDescent="0.2">
      <c r="B12" s="7" t="s">
        <v>68</v>
      </c>
      <c r="C12" s="7">
        <f>+C10+C11</f>
        <v>697.08100000000002</v>
      </c>
      <c r="D12" s="7">
        <f>+D10+D11</f>
        <v>955.86699999999996</v>
      </c>
      <c r="E12" s="7">
        <f>+E10+E11</f>
        <v>1144.1559999999999</v>
      </c>
      <c r="F12" s="7">
        <f>+F10+F11</f>
        <v>1512.6179999999999</v>
      </c>
      <c r="G12" s="7">
        <f>+G10+G11</f>
        <v>1560.0740000000001</v>
      </c>
      <c r="H12" s="7">
        <f>+H10+H11</f>
        <v>2081.3150000000001</v>
      </c>
      <c r="I12" s="7">
        <f>+I10+I11</f>
        <v>2554.2310000000002</v>
      </c>
      <c r="J12" s="7">
        <f>+J10+J11</f>
        <v>3441.1880000000001</v>
      </c>
      <c r="K12" s="7">
        <f>+K10+K11</f>
        <v>3947.4810000000002</v>
      </c>
      <c r="L12" s="7">
        <f>+L10+L11</f>
        <v>4988.13</v>
      </c>
      <c r="M12" s="7">
        <f>+M10+M11</f>
        <v>853.55</v>
      </c>
      <c r="N12" s="7">
        <f>+N10+N11</f>
        <v>1009.856</v>
      </c>
      <c r="O12" s="7">
        <f>+O10+O11</f>
        <v>1031.6189999999999</v>
      </c>
      <c r="P12" s="7">
        <f t="shared" ref="P12" si="1">+P10+P11</f>
        <v>1203.2810000000002</v>
      </c>
      <c r="X12" s="7">
        <f>+X10+X11</f>
        <v>2656.7739999999999</v>
      </c>
      <c r="Y12" s="7">
        <f>+Y10+Y11</f>
        <v>3641.3890000000001</v>
      </c>
      <c r="Z12" s="7">
        <f>+Z10+Z11</f>
        <v>5995.4189999999999</v>
      </c>
      <c r="AA12" s="7">
        <f>+AA10+AA11</f>
        <v>8935.6110000000008</v>
      </c>
      <c r="AB12" s="7">
        <f>+AB10+AB11</f>
        <v>1863.4059999999999</v>
      </c>
      <c r="AC12" s="7">
        <f>+AC10+AC11</f>
        <v>2234.9</v>
      </c>
    </row>
    <row r="13" spans="1:38" x14ac:dyDescent="0.2">
      <c r="B13" t="s">
        <v>15</v>
      </c>
      <c r="C13" s="2">
        <v>527.49800000000005</v>
      </c>
      <c r="D13" s="2">
        <v>742.97400000000005</v>
      </c>
      <c r="E13" s="2">
        <v>898.48400000000004</v>
      </c>
      <c r="F13" s="2">
        <v>1207.4449999999999</v>
      </c>
      <c r="G13" s="2">
        <v>1246.2429999999999</v>
      </c>
      <c r="H13" s="2">
        <v>1688.9390000000001</v>
      </c>
      <c r="I13" s="2">
        <v>2093.7199999999998</v>
      </c>
      <c r="J13" s="2">
        <v>2867.2310000000002</v>
      </c>
      <c r="K13" s="2">
        <v>3313.2689999999998</v>
      </c>
      <c r="L13" s="2">
        <v>4237.6909999999998</v>
      </c>
      <c r="M13" s="2">
        <v>74.409000000000006</v>
      </c>
      <c r="N13" s="2">
        <v>73.402000000000001</v>
      </c>
      <c r="O13" s="2">
        <v>68.843000000000004</v>
      </c>
      <c r="P13" s="2">
        <f>+AC13-O13</f>
        <v>79.323999999999998</v>
      </c>
      <c r="X13" s="2">
        <v>2105.9290000000001</v>
      </c>
      <c r="Y13" s="2">
        <v>2935.1819999999998</v>
      </c>
      <c r="Z13" s="2">
        <v>4960.951</v>
      </c>
      <c r="AA13" s="2">
        <v>7550.96</v>
      </c>
      <c r="AB13" s="2">
        <v>147.81100000000001</v>
      </c>
      <c r="AC13" s="2">
        <v>148.167</v>
      </c>
    </row>
    <row r="14" spans="1:38" x14ac:dyDescent="0.2">
      <c r="B14" t="s">
        <v>69</v>
      </c>
      <c r="C14" s="2">
        <v>3.879</v>
      </c>
      <c r="D14" s="2">
        <v>5.1509999999999998</v>
      </c>
      <c r="E14" s="2">
        <v>8.0050000000000008</v>
      </c>
      <c r="F14" s="2">
        <v>8.5399999999999991</v>
      </c>
      <c r="G14" s="2">
        <v>9.0239999999999991</v>
      </c>
      <c r="H14" s="2">
        <v>12.983000000000001</v>
      </c>
      <c r="I14" s="2">
        <v>15.49</v>
      </c>
      <c r="J14" s="2">
        <v>17.460999999999999</v>
      </c>
      <c r="K14" s="2">
        <v>25.683</v>
      </c>
      <c r="L14" s="2">
        <v>28.802</v>
      </c>
      <c r="M14" s="2">
        <v>40.033999999999999</v>
      </c>
      <c r="N14" s="2">
        <v>49.5</v>
      </c>
      <c r="O14" s="2">
        <v>49.396000000000001</v>
      </c>
      <c r="P14" s="2">
        <f>+AC14-O14</f>
        <v>40.263000000000005</v>
      </c>
      <c r="X14" s="2">
        <v>16.545000000000002</v>
      </c>
      <c r="Y14" s="2">
        <v>22.007000000000001</v>
      </c>
      <c r="Z14" s="2">
        <v>32.951000000000001</v>
      </c>
      <c r="AA14" s="2">
        <v>54.484999999999999</v>
      </c>
      <c r="AB14" s="2">
        <v>89.634</v>
      </c>
      <c r="AC14" s="2">
        <v>89.659000000000006</v>
      </c>
    </row>
    <row r="15" spans="1:38" s="7" customFormat="1" x14ac:dyDescent="0.2">
      <c r="B15" s="4" t="s">
        <v>90</v>
      </c>
      <c r="C15" s="7">
        <f t="shared" ref="C15:M15" si="2">+C10-SUM(C13:C14)</f>
        <v>165.70399999999995</v>
      </c>
      <c r="D15" s="7">
        <f t="shared" si="2"/>
        <v>207.74199999999996</v>
      </c>
      <c r="E15" s="7">
        <f t="shared" si="2"/>
        <v>237.66699999999992</v>
      </c>
      <c r="F15" s="7">
        <f t="shared" si="2"/>
        <v>296.63300000000004</v>
      </c>
      <c r="G15" s="7">
        <f t="shared" si="2"/>
        <v>304.80700000000024</v>
      </c>
      <c r="H15" s="7">
        <f t="shared" si="2"/>
        <v>379.39300000000003</v>
      </c>
      <c r="I15" s="7">
        <f t="shared" si="2"/>
        <v>445.02100000000064</v>
      </c>
      <c r="J15" s="7">
        <f t="shared" si="2"/>
        <v>556.49600000000009</v>
      </c>
      <c r="K15" s="7">
        <f t="shared" si="2"/>
        <v>608.52900000000045</v>
      </c>
      <c r="L15" s="7">
        <f t="shared" si="2"/>
        <v>721.63700000000063</v>
      </c>
      <c r="M15" s="7">
        <f t="shared" si="2"/>
        <v>739.10699999999997</v>
      </c>
      <c r="N15" s="7">
        <f>+N10-SUM(N13:N14)</f>
        <v>886.95399999999995</v>
      </c>
      <c r="O15" s="7">
        <f>+O10-SUM(O13:O14)</f>
        <v>924.01</v>
      </c>
      <c r="P15" s="7">
        <f>+P10-SUM(P13:P14)</f>
        <v>1091.8680000000002</v>
      </c>
      <c r="X15" s="7">
        <f>+X12-SUM(X13:X14)</f>
        <v>534.29999999999973</v>
      </c>
      <c r="Y15" s="7">
        <f>+Y12-SUM(Y13:Y14)</f>
        <v>684.20000000000027</v>
      </c>
      <c r="Z15" s="7">
        <f>+Z12-SUM(Z13:Z14)</f>
        <v>1001.5169999999998</v>
      </c>
      <c r="AA15" s="7">
        <f>+AA12-SUM(AA13:AA14)</f>
        <v>1330.1660000000011</v>
      </c>
      <c r="AB15" s="7">
        <f>+AB12-SUM(AB13:AB14)</f>
        <v>1625.961</v>
      </c>
      <c r="AC15" s="7">
        <f>+AC12-SUM(AC13:AC14)</f>
        <v>1997.0740000000001</v>
      </c>
    </row>
    <row r="16" spans="1:38" x14ac:dyDescent="0.2">
      <c r="B16" t="s">
        <v>85</v>
      </c>
      <c r="C16" s="2">
        <v>37.088999999999999</v>
      </c>
      <c r="D16" s="2">
        <v>35.627000000000002</v>
      </c>
      <c r="E16" s="2">
        <v>45.012</v>
      </c>
      <c r="F16" s="2">
        <v>55.438000000000002</v>
      </c>
      <c r="G16" s="2">
        <v>73.867999999999995</v>
      </c>
      <c r="H16" s="2">
        <v>77.572000000000003</v>
      </c>
      <c r="I16" s="2">
        <v>98.207999999999998</v>
      </c>
      <c r="J16" s="2">
        <v>100.93300000000001</v>
      </c>
      <c r="K16" s="2">
        <v>134.94399999999999</v>
      </c>
      <c r="L16" s="2">
        <v>193.37200000000001</v>
      </c>
      <c r="M16" s="2">
        <v>247.31</v>
      </c>
      <c r="N16" s="2">
        <v>267.02</v>
      </c>
      <c r="O16" s="2">
        <v>298.48099999999999</v>
      </c>
      <c r="P16" s="2">
        <f>+AC16-O16</f>
        <v>308.41700000000003</v>
      </c>
      <c r="X16" s="2">
        <v>100.45</v>
      </c>
      <c r="Y16" s="2">
        <v>151.44</v>
      </c>
      <c r="Z16" s="2">
        <v>199.14099999999999</v>
      </c>
      <c r="AA16" s="2">
        <v>328.31599999999997</v>
      </c>
      <c r="AB16" s="2">
        <v>514.33000000000004</v>
      </c>
      <c r="AC16" s="2">
        <v>606.89800000000002</v>
      </c>
    </row>
    <row r="17" spans="2:29" x14ac:dyDescent="0.2">
      <c r="B17" t="s">
        <v>38</v>
      </c>
      <c r="C17" s="2">
        <v>6.5069999999999997</v>
      </c>
      <c r="D17" s="2">
        <v>7.86</v>
      </c>
      <c r="E17" s="2">
        <v>9.8030000000000008</v>
      </c>
      <c r="F17" s="2">
        <v>12.194000000000001</v>
      </c>
      <c r="G17" s="2">
        <v>13.733000000000001</v>
      </c>
      <c r="H17" s="2">
        <v>14.840999999999999</v>
      </c>
      <c r="I17" s="2">
        <v>20.821000000000002</v>
      </c>
      <c r="J17" s="2">
        <v>20.577000000000002</v>
      </c>
      <c r="K17" s="2">
        <v>23.561</v>
      </c>
      <c r="L17" s="2">
        <v>28.71</v>
      </c>
      <c r="M17" s="2">
        <v>38.637999999999998</v>
      </c>
      <c r="N17" s="2">
        <v>41.066000000000003</v>
      </c>
      <c r="O17" s="2">
        <v>49.012</v>
      </c>
      <c r="P17" s="2">
        <f>+AC17-O17</f>
        <v>45.259</v>
      </c>
      <c r="X17" s="2">
        <v>21.997</v>
      </c>
      <c r="Y17" s="2">
        <v>28.574000000000002</v>
      </c>
      <c r="Z17" s="2">
        <v>41.398000000000003</v>
      </c>
      <c r="AA17" s="2">
        <v>52.271000000000001</v>
      </c>
      <c r="AB17" s="2">
        <v>79.703999999999994</v>
      </c>
      <c r="AC17" s="2">
        <v>94.271000000000001</v>
      </c>
    </row>
    <row r="18" spans="2:29" x14ac:dyDescent="0.2">
      <c r="B18" t="s">
        <v>31</v>
      </c>
      <c r="C18" s="2">
        <v>42.677999999999997</v>
      </c>
      <c r="D18" s="2">
        <v>37.345999999999997</v>
      </c>
      <c r="E18" s="2">
        <v>40.451999999999998</v>
      </c>
      <c r="F18" s="2">
        <v>54.661000000000001</v>
      </c>
      <c r="G18" s="2">
        <v>51.594000000000001</v>
      </c>
      <c r="H18" s="2">
        <v>50.295000000000002</v>
      </c>
      <c r="I18" s="2">
        <v>53.295999999999999</v>
      </c>
      <c r="J18" s="2">
        <v>77.94</v>
      </c>
      <c r="K18" s="2">
        <v>93.777000000000001</v>
      </c>
      <c r="L18" s="2">
        <v>127.46</v>
      </c>
      <c r="M18" s="2">
        <v>126.07599999999999</v>
      </c>
      <c r="N18" s="2">
        <v>138.661</v>
      </c>
      <c r="O18" s="2">
        <v>141.60300000000001</v>
      </c>
      <c r="P18" s="2">
        <f>+AC18-O18</f>
        <v>168.02799999999996</v>
      </c>
      <c r="X18" s="2">
        <v>95.113</v>
      </c>
      <c r="Y18" s="2">
        <v>101.889</v>
      </c>
      <c r="Z18" s="2">
        <v>131.23599999999999</v>
      </c>
      <c r="AA18" s="2">
        <v>221.23699999999999</v>
      </c>
      <c r="AB18" s="2">
        <v>264.73700000000002</v>
      </c>
      <c r="AC18" s="2">
        <v>309.63099999999997</v>
      </c>
    </row>
    <row r="19" spans="2:29" s="7" customFormat="1" x14ac:dyDescent="0.2">
      <c r="B19" s="4" t="s">
        <v>86</v>
      </c>
      <c r="C19" s="7">
        <f>+C15-SUM(C16:C18)</f>
        <v>79.42999999999995</v>
      </c>
      <c r="D19" s="7">
        <f>+D15-SUM(D16:D18)</f>
        <v>126.90899999999996</v>
      </c>
      <c r="E19" s="7">
        <f>+E15-SUM(E16:E18)</f>
        <v>142.39999999999992</v>
      </c>
      <c r="F19" s="7">
        <f>+F15-SUM(F16:F18)</f>
        <v>174.34000000000003</v>
      </c>
      <c r="G19" s="7">
        <f>+G15-SUM(G16:G18)</f>
        <v>165.61200000000025</v>
      </c>
      <c r="H19" s="7">
        <f>+H15-SUM(H16:H18)</f>
        <v>236.68500000000003</v>
      </c>
      <c r="I19" s="7">
        <f>+I15-SUM(I16:I18)</f>
        <v>272.69600000000065</v>
      </c>
      <c r="J19" s="7">
        <f>+J15-SUM(J16:J18)</f>
        <v>357.04600000000011</v>
      </c>
      <c r="K19" s="7">
        <f>+K15-SUM(K16:K18)</f>
        <v>356.24700000000047</v>
      </c>
      <c r="L19" s="7">
        <f>+L15-SUM(L16:L18)</f>
        <v>372.0950000000006</v>
      </c>
      <c r="M19" s="7">
        <f>+M15-SUM(M16:M18)</f>
        <v>327.08299999999997</v>
      </c>
      <c r="N19" s="7">
        <f>+N15-SUM(N16:N18)</f>
        <v>440.20699999999994</v>
      </c>
      <c r="O19" s="7">
        <f>+O15-SUM(O16:O18)</f>
        <v>434.91399999999999</v>
      </c>
      <c r="P19" s="7">
        <f>+P15-SUM(P16:P18)</f>
        <v>570.16400000000021</v>
      </c>
      <c r="X19" s="7">
        <f>+X15-SUM(X16:X18)</f>
        <v>316.73999999999972</v>
      </c>
      <c r="Y19" s="7">
        <f>+Y15-SUM(Y16:Y18)</f>
        <v>402.29700000000025</v>
      </c>
      <c r="Z19" s="7">
        <f>+Z15-SUM(Z16:Z18)</f>
        <v>629.74199999999985</v>
      </c>
      <c r="AA19" s="7">
        <f>+AA15-SUM(AA16:AA18)</f>
        <v>728.34200000000112</v>
      </c>
      <c r="AB19" s="7">
        <f>+AB15-SUM(AB16:AB18)</f>
        <v>767.19</v>
      </c>
      <c r="AC19" s="7">
        <f>+AC15-SUM(AC16:AC18)</f>
        <v>986.27400000000011</v>
      </c>
    </row>
    <row r="20" spans="2:29" x14ac:dyDescent="0.2">
      <c r="B20" t="s">
        <v>32</v>
      </c>
      <c r="C20" s="2">
        <f>0.213-0.955</f>
        <v>-0.74199999999999999</v>
      </c>
      <c r="D20" s="2">
        <f>0.204-0.561</f>
        <v>-0.3570000000000001</v>
      </c>
      <c r="E20" s="2">
        <f>0.042-2.334</f>
        <v>-2.2920000000000003</v>
      </c>
      <c r="F20" s="2">
        <f>0.292-2.299</f>
        <v>-2.0070000000000001</v>
      </c>
      <c r="G20" s="2">
        <f>1.173-3.797</f>
        <v>-2.6240000000000001</v>
      </c>
      <c r="H20" s="2">
        <f>0.161-5.609</f>
        <v>-5.4480000000000004</v>
      </c>
      <c r="I20" s="2">
        <f>0.695-6.052</f>
        <v>-5.3569999999999993</v>
      </c>
      <c r="J20" s="2">
        <f>0.344-6.736</f>
        <v>-6.3919999999999995</v>
      </c>
      <c r="K20" s="2">
        <f>1.493-8.772</f>
        <v>-7.2789999999999999</v>
      </c>
      <c r="L20" s="2">
        <f>27.83-3.191</f>
        <v>24.638999999999999</v>
      </c>
      <c r="M20" s="2">
        <f>93.408-2.291</f>
        <v>91.117000000000004</v>
      </c>
      <c r="N20" s="2">
        <f>152.993-2.492</f>
        <v>150.501</v>
      </c>
      <c r="O20" s="2">
        <f>176.846-3.256</f>
        <v>173.59</v>
      </c>
      <c r="P20" s="2">
        <f>+AC20-O20</f>
        <v>168.25000000000003</v>
      </c>
      <c r="X20" s="2">
        <f>0.334-4.633</f>
        <v>-4.2990000000000004</v>
      </c>
      <c r="Y20" s="2">
        <f>1.334-9.406</f>
        <v>-8.072000000000001</v>
      </c>
      <c r="Z20" s="2">
        <f>1.039-12.788</f>
        <v>-11.749000000000001</v>
      </c>
      <c r="AA20" s="2">
        <f>29.323-11.963</f>
        <v>17.36</v>
      </c>
      <c r="AB20" s="2">
        <f>246.401-4.783</f>
        <v>241.61800000000002</v>
      </c>
      <c r="AC20" s="2">
        <f>349.776-7.936</f>
        <v>341.84000000000003</v>
      </c>
    </row>
    <row r="21" spans="2:29" x14ac:dyDescent="0.2">
      <c r="B21" t="s">
        <v>34</v>
      </c>
      <c r="C21" s="2">
        <f>+C19+SUM(C20:C20)</f>
        <v>78.687999999999946</v>
      </c>
      <c r="D21" s="2">
        <f>+D19+SUM(D20:D20)</f>
        <v>126.55199999999996</v>
      </c>
      <c r="E21" s="2">
        <f>+E19+SUM(E20:E20)</f>
        <v>140.10799999999992</v>
      </c>
      <c r="F21" s="2">
        <f>+F19+SUM(F20:F20)</f>
        <v>172.33300000000003</v>
      </c>
      <c r="G21" s="2">
        <f>+G19+SUM(G20:G20)</f>
        <v>162.98800000000026</v>
      </c>
      <c r="H21" s="2">
        <f>+H19+SUM(H20:H20)</f>
        <v>231.23700000000002</v>
      </c>
      <c r="I21" s="2">
        <f>+I19+SUM(I20:I20)</f>
        <v>267.33900000000062</v>
      </c>
      <c r="J21" s="2">
        <f>+J19+SUM(J20:J20)</f>
        <v>350.65400000000011</v>
      </c>
      <c r="K21" s="2">
        <f>+K19+SUM(K20:K20)</f>
        <v>348.96800000000047</v>
      </c>
      <c r="L21" s="2">
        <f>+L19+SUM(L20:L20)</f>
        <v>396.73400000000061</v>
      </c>
      <c r="M21" s="2">
        <f>+M19+SUM(M20:M20)</f>
        <v>418.2</v>
      </c>
      <c r="N21" s="2">
        <f>+N19+SUM(N20:N20)</f>
        <v>590.70799999999997</v>
      </c>
      <c r="O21" s="2">
        <f>+O19+SUM(O20:O20)</f>
        <v>608.50400000000002</v>
      </c>
      <c r="P21" s="2">
        <f>+P19+SUM(P20:P20)</f>
        <v>738.41400000000021</v>
      </c>
      <c r="X21" s="2">
        <f>+X19+X20</f>
        <v>312.44099999999975</v>
      </c>
      <c r="Y21" s="2">
        <f>+Y19+Y20</f>
        <v>394.22500000000025</v>
      </c>
      <c r="Z21" s="2">
        <f>+Z19+Z20</f>
        <v>617.99299999999982</v>
      </c>
      <c r="AA21" s="2">
        <f>+AA19+AA20</f>
        <v>745.70200000000114</v>
      </c>
      <c r="AB21" s="2">
        <f>+AB19+AB20</f>
        <v>1008.8080000000001</v>
      </c>
      <c r="AC21" s="2">
        <f>+AC19+AC20</f>
        <v>1328.114</v>
      </c>
    </row>
    <row r="22" spans="2:29" x14ac:dyDescent="0.2">
      <c r="B22" t="s">
        <v>35</v>
      </c>
      <c r="C22" s="2">
        <v>14.23</v>
      </c>
      <c r="D22" s="2">
        <v>24.099</v>
      </c>
      <c r="E22" s="2">
        <v>25.635999999999999</v>
      </c>
      <c r="F22" s="2">
        <v>34.957000000000001</v>
      </c>
      <c r="G22" s="2">
        <v>26.134</v>
      </c>
      <c r="H22" s="2">
        <v>36.027000000000001</v>
      </c>
      <c r="I22" s="2">
        <v>51.104999999999997</v>
      </c>
      <c r="J22" s="2">
        <v>60.024999999999999</v>
      </c>
      <c r="K22" s="2">
        <v>77.492000000000004</v>
      </c>
      <c r="L22" s="2">
        <v>78.308000000000007</v>
      </c>
      <c r="M22" s="2">
        <v>90.844999999999999</v>
      </c>
      <c r="N22" s="2">
        <v>153.44200000000001</v>
      </c>
      <c r="O22" s="2">
        <v>131.95699999999999</v>
      </c>
      <c r="P22" s="2">
        <f>+AC22-O22</f>
        <v>169.61</v>
      </c>
      <c r="X22" s="2">
        <v>60.593000000000004</v>
      </c>
      <c r="Y22" s="2">
        <v>62.161000000000001</v>
      </c>
      <c r="Z22" s="2">
        <v>111.13</v>
      </c>
      <c r="AA22" s="2">
        <v>155.80000000000001</v>
      </c>
      <c r="AB22" s="2">
        <v>244.28700000000001</v>
      </c>
      <c r="AC22" s="2">
        <v>301.56700000000001</v>
      </c>
    </row>
    <row r="23" spans="2:29" s="7" customFormat="1" x14ac:dyDescent="0.2">
      <c r="B23" s="4" t="s">
        <v>36</v>
      </c>
      <c r="C23" s="7">
        <f t="shared" ref="C23:N23" si="3">+C21-C22</f>
        <v>64.457999999999942</v>
      </c>
      <c r="D23" s="7">
        <f t="shared" si="3"/>
        <v>102.45299999999996</v>
      </c>
      <c r="E23" s="7">
        <f t="shared" si="3"/>
        <v>114.47199999999992</v>
      </c>
      <c r="F23" s="7">
        <f t="shared" si="3"/>
        <v>137.37600000000003</v>
      </c>
      <c r="G23" s="7">
        <f t="shared" si="3"/>
        <v>136.85400000000027</v>
      </c>
      <c r="H23" s="7">
        <f t="shared" si="3"/>
        <v>195.21000000000004</v>
      </c>
      <c r="I23" s="7">
        <f t="shared" si="3"/>
        <v>216.23400000000063</v>
      </c>
      <c r="J23" s="7">
        <f t="shared" si="3"/>
        <v>290.62900000000013</v>
      </c>
      <c r="K23" s="7">
        <f t="shared" si="3"/>
        <v>271.47600000000045</v>
      </c>
      <c r="L23" s="7">
        <f t="shared" si="3"/>
        <v>318.42600000000061</v>
      </c>
      <c r="M23" s="7">
        <f t="shared" si="3"/>
        <v>327.35500000000002</v>
      </c>
      <c r="N23" s="7">
        <f t="shared" si="3"/>
        <v>437.26599999999996</v>
      </c>
      <c r="O23" s="7">
        <f t="shared" ref="O23:P23" si="4">+O21-O22</f>
        <v>476.54700000000003</v>
      </c>
      <c r="P23" s="7">
        <f t="shared" si="4"/>
        <v>568.8040000000002</v>
      </c>
      <c r="X23" s="7">
        <f>+X21-X22</f>
        <v>251.84799999999973</v>
      </c>
      <c r="Y23" s="7">
        <f>+Y21-Y22</f>
        <v>332.06400000000025</v>
      </c>
      <c r="Z23" s="7">
        <f>+Z21-Z22</f>
        <v>506.86299999999983</v>
      </c>
      <c r="AA23" s="7">
        <f>+AA21-AA22</f>
        <v>589.90200000000118</v>
      </c>
      <c r="AB23" s="7">
        <f>+AB21-AB22</f>
        <v>764.52100000000007</v>
      </c>
      <c r="AC23" s="7">
        <f>+AC21-AC22</f>
        <v>1026.547</v>
      </c>
    </row>
    <row r="24" spans="2:29" x14ac:dyDescent="0.2">
      <c r="B24" t="s">
        <v>37</v>
      </c>
    </row>
    <row r="25" spans="2:29" x14ac:dyDescent="0.2">
      <c r="B25" t="s">
        <v>1</v>
      </c>
    </row>
    <row r="27" spans="2:29" s="8" customFormat="1" x14ac:dyDescent="0.2">
      <c r="X27" s="8">
        <f t="shared" ref="X27:AB27" si="5">+X16/X15</f>
        <v>0.18800299457233774</v>
      </c>
      <c r="Y27" s="8">
        <f t="shared" si="5"/>
        <v>0.22133878982753571</v>
      </c>
      <c r="Z27" s="8">
        <f t="shared" si="5"/>
        <v>0.19883936068983354</v>
      </c>
      <c r="AA27" s="8">
        <f t="shared" si="5"/>
        <v>0.24682332881760599</v>
      </c>
      <c r="AB27" s="8">
        <f t="shared" si="5"/>
        <v>0.31632370026095341</v>
      </c>
      <c r="AC27" s="8">
        <f>+AC16/AC15</f>
        <v>0.30389359633143287</v>
      </c>
    </row>
    <row r="28" spans="2:29" s="8" customFormat="1" x14ac:dyDescent="0.2">
      <c r="B28" s="8" t="s">
        <v>28</v>
      </c>
      <c r="C28" s="8">
        <f>+C19/C10</f>
        <v>0.11394658583435777</v>
      </c>
      <c r="D28" s="8">
        <f>+D19/D10</f>
        <v>0.13276847092744071</v>
      </c>
      <c r="E28" s="8">
        <f>+E19/E10</f>
        <v>0.12445855285468059</v>
      </c>
      <c r="F28" s="8">
        <f>+F19/F10</f>
        <v>0.11525712374175108</v>
      </c>
      <c r="G28" s="8">
        <f>+G19/G10</f>
        <v>0.10615650283255811</v>
      </c>
      <c r="H28" s="8">
        <f>+H19/H10</f>
        <v>0.11371897093904576</v>
      </c>
      <c r="I28" s="8">
        <f>+I19/I10</f>
        <v>0.1067624658850357</v>
      </c>
      <c r="J28" s="8">
        <f>+J19/J10</f>
        <v>0.10375660963597458</v>
      </c>
      <c r="K28" s="8">
        <f>+K19/K10</f>
        <v>9.0246666165081091E-2</v>
      </c>
      <c r="L28" s="8">
        <f>+L19/L10</f>
        <v>7.4596091120319757E-2</v>
      </c>
      <c r="M28" s="8">
        <f>+M19/M10</f>
        <v>0.38320309296467692</v>
      </c>
      <c r="N28" s="8">
        <f>+N19/N10</f>
        <v>0.43591066449077881</v>
      </c>
      <c r="O28" s="8">
        <f>+O19/O10</f>
        <v>0.41728416146237607</v>
      </c>
      <c r="P28" s="8">
        <f>+P19/P10</f>
        <v>0.47064397769624139</v>
      </c>
      <c r="X28" s="8">
        <f t="shared" ref="X28:Z28" si="6">+X19/X15</f>
        <v>0.59281302638966848</v>
      </c>
      <c r="Y28" s="8">
        <f t="shared" si="6"/>
        <v>0.58798158433206682</v>
      </c>
      <c r="Z28" s="8">
        <f t="shared" si="6"/>
        <v>0.62878812840920317</v>
      </c>
      <c r="AA28" s="8">
        <f t="shared" ref="AA28:AB28" si="7">+AA19/AA15</f>
        <v>0.5475572221812921</v>
      </c>
      <c r="AB28" s="8">
        <f t="shared" si="7"/>
        <v>0.47183788541053573</v>
      </c>
      <c r="AC28" s="8">
        <f>+AC19/AC15</f>
        <v>0.49385951647259946</v>
      </c>
    </row>
    <row r="29" spans="2:29" s="8" customFormat="1" x14ac:dyDescent="0.2">
      <c r="B29" s="8" t="s">
        <v>29</v>
      </c>
      <c r="C29" s="8">
        <f>+C23/C10</f>
        <v>9.2468450581783088E-2</v>
      </c>
      <c r="D29" s="8">
        <f>+D23/D10</f>
        <v>0.10718332152904114</v>
      </c>
      <c r="E29" s="8">
        <f>+E23/E10</f>
        <v>0.10004929397739463</v>
      </c>
      <c r="F29" s="8">
        <f>+F23/F10</f>
        <v>9.0820021975145104E-2</v>
      </c>
      <c r="G29" s="8">
        <f>+G23/G10</f>
        <v>8.7722761868988433E-2</v>
      </c>
      <c r="H29" s="8">
        <f>+H23/H10</f>
        <v>9.3791665365406021E-2</v>
      </c>
      <c r="I29" s="8">
        <f>+I23/I10</f>
        <v>8.4657182533608197E-2</v>
      </c>
      <c r="J29" s="8">
        <f>+J23/J10</f>
        <v>8.4456007634572741E-2</v>
      </c>
      <c r="K29" s="8">
        <f>+K23/K10</f>
        <v>6.8771958623740165E-2</v>
      </c>
      <c r="L29" s="8">
        <f>+L23/L10</f>
        <v>6.3836748440798577E-2</v>
      </c>
      <c r="M29" s="8">
        <f>+M23/M10</f>
        <v>0.38352176205260385</v>
      </c>
      <c r="N29" s="8">
        <f>+N23/N10</f>
        <v>0.43299836808416248</v>
      </c>
      <c r="O29" s="8">
        <f>+O23/O10</f>
        <v>0.45722951041449789</v>
      </c>
      <c r="P29" s="8">
        <f>+P23/P10</f>
        <v>0.46952136067786265</v>
      </c>
      <c r="X29" s="8">
        <f t="shared" ref="X29:Z29" si="8">+X23/X15</f>
        <v>0.47136065880591399</v>
      </c>
      <c r="Y29" s="8">
        <f t="shared" si="8"/>
        <v>0.48533177433498992</v>
      </c>
      <c r="Z29" s="8">
        <f t="shared" si="8"/>
        <v>0.50609525350043971</v>
      </c>
      <c r="AA29" s="8">
        <f t="shared" ref="AA29:AB29" si="9">+AA23/AA15</f>
        <v>0.44347998670842642</v>
      </c>
      <c r="AB29" s="8">
        <f t="shared" si="9"/>
        <v>0.47019639462447133</v>
      </c>
      <c r="AC29" s="8">
        <f>+AC23/AC15</f>
        <v>0.5140255193347868</v>
      </c>
    </row>
    <row r="30" spans="2:29" s="8" customFormat="1" x14ac:dyDescent="0.2">
      <c r="B30" s="8" t="s">
        <v>30</v>
      </c>
      <c r="C30" s="8">
        <f t="shared" ref="C30:N30" si="10">+C22/C21</f>
        <v>0.18084078893859307</v>
      </c>
      <c r="D30" s="8">
        <f t="shared" si="10"/>
        <v>0.19042765029395037</v>
      </c>
      <c r="E30" s="8">
        <f t="shared" si="10"/>
        <v>0.18297313501013515</v>
      </c>
      <c r="F30" s="8">
        <f t="shared" si="10"/>
        <v>0.20284565347321754</v>
      </c>
      <c r="G30" s="8">
        <f t="shared" si="10"/>
        <v>0.16034309274302377</v>
      </c>
      <c r="H30" s="8">
        <f t="shared" si="10"/>
        <v>0.15580119098587164</v>
      </c>
      <c r="I30" s="8">
        <f t="shared" si="10"/>
        <v>0.19116178335371897</v>
      </c>
      <c r="J30" s="8">
        <f t="shared" si="10"/>
        <v>0.17118013768558174</v>
      </c>
      <c r="K30" s="8">
        <f t="shared" si="10"/>
        <v>0.2220604754590676</v>
      </c>
      <c r="L30" s="8">
        <f t="shared" si="10"/>
        <v>0.19738162093493344</v>
      </c>
      <c r="M30" s="8">
        <f t="shared" si="10"/>
        <v>0.2172285987565758</v>
      </c>
      <c r="N30" s="8">
        <f t="shared" si="10"/>
        <v>0.25975947507059327</v>
      </c>
      <c r="O30" s="8">
        <f t="shared" ref="O30:P30" si="11">+O22/O21</f>
        <v>0.21685477827590285</v>
      </c>
      <c r="P30" s="8">
        <f t="shared" si="11"/>
        <v>0.2296949949486331</v>
      </c>
      <c r="X30" s="8">
        <f t="shared" ref="X30:Y30" si="12">+X22/X21</f>
        <v>0.19393421477975059</v>
      </c>
      <c r="Y30" s="8">
        <f t="shared" si="12"/>
        <v>0.15767899042425002</v>
      </c>
      <c r="Z30" s="8">
        <f>+Z22/Z21</f>
        <v>0.17982404331440652</v>
      </c>
      <c r="AA30" s="8">
        <f>+AA22/AA21</f>
        <v>0.20893064521752627</v>
      </c>
      <c r="AB30" s="8">
        <f>+AB22/AB21</f>
        <v>0.2421541066288134</v>
      </c>
      <c r="AC30" s="8">
        <f>+AC22/AC21</f>
        <v>0.22706409238965933</v>
      </c>
    </row>
    <row r="31" spans="2:29" s="8" customFormat="1" x14ac:dyDescent="0.2"/>
    <row r="32" spans="2:29" s="9" customFormat="1" x14ac:dyDescent="0.2">
      <c r="B32" s="9" t="s">
        <v>50</v>
      </c>
      <c r="E32" s="9">
        <f>+E15/C15-1</f>
        <v>0.43428643846859449</v>
      </c>
      <c r="F32" s="9">
        <f>+F15/D15-1</f>
        <v>0.42789132674182451</v>
      </c>
      <c r="G32" s="9">
        <f>+G15/E15-1</f>
        <v>0.28249609748093074</v>
      </c>
      <c r="H32" s="9">
        <f>+H15/F15-1</f>
        <v>0.27899795370036373</v>
      </c>
      <c r="I32" s="9">
        <f>+I15/G15-1</f>
        <v>0.46000912052544818</v>
      </c>
      <c r="J32" s="9">
        <f>+J15/H15-1</f>
        <v>0.4668061877788996</v>
      </c>
      <c r="K32" s="9">
        <f>+K15/I15-1</f>
        <v>0.3674163691151644</v>
      </c>
      <c r="L32" s="9">
        <f>+L15/J15-1</f>
        <v>0.29675145912998557</v>
      </c>
      <c r="M32" s="9">
        <f>+M15/K15-1</f>
        <v>0.21457974886981468</v>
      </c>
      <c r="N32" s="9">
        <f>+N15/L15-1</f>
        <v>0.22908609176081485</v>
      </c>
      <c r="O32" s="9">
        <f>+O15/M15-1</f>
        <v>0.25017081423934573</v>
      </c>
      <c r="P32" s="9">
        <f>+P15/N15-1</f>
        <v>0.2310311470493398</v>
      </c>
      <c r="W32" s="9" t="e">
        <f t="shared" ref="W32:Y32" si="13">+W15/V15-1</f>
        <v>#DIV/0!</v>
      </c>
      <c r="X32" s="9" t="e">
        <f t="shared" si="13"/>
        <v>#DIV/0!</v>
      </c>
      <c r="Y32" s="9">
        <f t="shared" si="13"/>
        <v>0.2805539958824641</v>
      </c>
      <c r="Z32" s="9">
        <f t="shared" ref="Z32" si="14">+Z15/Y15-1</f>
        <v>0.46377813504823062</v>
      </c>
      <c r="AA32" s="9">
        <f t="shared" ref="AA32:AB32" si="15">+AA15/Z15-1</f>
        <v>0.32815119463773579</v>
      </c>
      <c r="AB32" s="9">
        <f t="shared" si="15"/>
        <v>0.22237450062623654</v>
      </c>
      <c r="AC32" s="9">
        <f>+AC15/AB15-1</f>
        <v>0.2282422518129279</v>
      </c>
    </row>
    <row r="34" spans="2:29" x14ac:dyDescent="0.2">
      <c r="B34" s="8" t="s">
        <v>87</v>
      </c>
      <c r="X34" s="2">
        <v>529.45500000000004</v>
      </c>
      <c r="Y34" s="2">
        <v>1016.647</v>
      </c>
      <c r="Z34" s="2">
        <v>1820.146</v>
      </c>
      <c r="AA34" s="2">
        <v>2021.1579999999999</v>
      </c>
      <c r="AB34" s="2">
        <v>1870.04</v>
      </c>
      <c r="AC34" s="2">
        <v>1704.7760000000001</v>
      </c>
    </row>
    <row r="35" spans="2:29" x14ac:dyDescent="0.2">
      <c r="B35" s="8" t="s">
        <v>88</v>
      </c>
      <c r="X35" s="2">
        <v>-15.186</v>
      </c>
      <c r="Y35" s="2">
        <v>-17.097000000000001</v>
      </c>
      <c r="Z35" s="2">
        <v>-51.387</v>
      </c>
      <c r="AA35" s="2">
        <v>-95.575000000000003</v>
      </c>
      <c r="AB35" s="2">
        <v>-65.605000000000004</v>
      </c>
      <c r="AC35" s="2">
        <v>-98.22</v>
      </c>
    </row>
    <row r="36" spans="2:29" x14ac:dyDescent="0.2">
      <c r="B36" s="8" t="s">
        <v>89</v>
      </c>
      <c r="X36" s="2">
        <f t="shared" ref="X36:Y36" si="16">+X34+X35</f>
        <v>514.26900000000001</v>
      </c>
      <c r="Y36" s="2">
        <f t="shared" si="16"/>
        <v>999.55000000000007</v>
      </c>
      <c r="Z36" s="2">
        <f>+Z34+Z35</f>
        <v>1768.759</v>
      </c>
      <c r="AA36" s="2">
        <f>+AA34+AA35</f>
        <v>1925.5829999999999</v>
      </c>
      <c r="AB36" s="2">
        <f>+AB34+AB35</f>
        <v>1804.4349999999999</v>
      </c>
      <c r="AC36" s="2">
        <f>+AC34+AC35</f>
        <v>1606.556</v>
      </c>
    </row>
    <row r="37" spans="2:29" s="8" customFormat="1" x14ac:dyDescent="0.2">
      <c r="Y37" s="8">
        <f t="shared" ref="Y37:Z37" si="17">+Y36/X36-1</f>
        <v>0.94363261250435104</v>
      </c>
      <c r="Z37" s="8">
        <f t="shared" si="17"/>
        <v>0.7695552998849482</v>
      </c>
      <c r="AA37" s="8">
        <f>+AA36/Z36-1</f>
        <v>8.8663294434120132E-2</v>
      </c>
      <c r="AB37" s="8">
        <f>+AB36/AA36-1</f>
        <v>-6.2914971725446245E-2</v>
      </c>
      <c r="AC37" s="8">
        <f>+AC36/AB36-1</f>
        <v>-0.109662581362033</v>
      </c>
    </row>
  </sheetData>
  <hyperlinks>
    <hyperlink ref="A1" location="Main!A1" display="Main" xr:uid="{D1C80924-A46C-4323-9D58-92892C7953A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C459-0C18-4576-A371-AFD11E4E638A}">
  <dimension ref="A1:AZ13"/>
  <sheetViews>
    <sheetView tabSelected="1" workbookViewId="0">
      <pane xSplit="2" ySplit="2" topLeftCell="X3" activePane="bottomRight" state="frozen"/>
      <selection pane="topRight" activeCell="C1" sqref="C1"/>
      <selection pane="bottomLeft" activeCell="A3" sqref="A3"/>
      <selection pane="bottomRight" activeCell="AA26" sqref="AA26"/>
    </sheetView>
  </sheetViews>
  <sheetFormatPr defaultRowHeight="12.75" x14ac:dyDescent="0.2"/>
  <cols>
    <col min="1" max="1" width="5" bestFit="1" customWidth="1"/>
    <col min="2" max="2" width="30.42578125" bestFit="1" customWidth="1"/>
  </cols>
  <sheetData>
    <row r="1" spans="1:52" x14ac:dyDescent="0.2">
      <c r="A1" s="19" t="s">
        <v>70</v>
      </c>
    </row>
    <row r="2" spans="1:52" s="3" customFormat="1" x14ac:dyDescent="0.2">
      <c r="A2" s="1"/>
      <c r="C2" s="13" t="s">
        <v>16</v>
      </c>
      <c r="D2" s="3" t="s">
        <v>39</v>
      </c>
      <c r="E2" s="3" t="s">
        <v>17</v>
      </c>
      <c r="F2" s="3" t="s">
        <v>40</v>
      </c>
      <c r="G2" s="3" t="s">
        <v>18</v>
      </c>
      <c r="H2" s="3" t="s">
        <v>41</v>
      </c>
      <c r="I2" s="3" t="s">
        <v>19</v>
      </c>
      <c r="J2" s="3" t="s">
        <v>42</v>
      </c>
      <c r="K2" s="3" t="s">
        <v>20</v>
      </c>
      <c r="L2" s="3" t="s">
        <v>43</v>
      </c>
      <c r="M2" s="3" t="s">
        <v>21</v>
      </c>
      <c r="N2" s="3" t="s">
        <v>44</v>
      </c>
      <c r="O2" s="3" t="s">
        <v>22</v>
      </c>
      <c r="P2" s="3" t="s">
        <v>61</v>
      </c>
      <c r="Q2" s="3" t="s">
        <v>26</v>
      </c>
      <c r="R2" s="3" t="s">
        <v>45</v>
      </c>
      <c r="S2" s="3" t="s">
        <v>27</v>
      </c>
      <c r="T2" s="3" t="s">
        <v>23</v>
      </c>
      <c r="U2" s="3" t="s">
        <v>24</v>
      </c>
      <c r="V2" s="3" t="s">
        <v>25</v>
      </c>
      <c r="W2" s="3" t="s">
        <v>10</v>
      </c>
      <c r="X2" s="3" t="s">
        <v>11</v>
      </c>
      <c r="Y2" s="3" t="s">
        <v>12</v>
      </c>
      <c r="Z2" s="3" t="s">
        <v>13</v>
      </c>
      <c r="AA2" s="3" t="s">
        <v>9</v>
      </c>
      <c r="AB2" s="3" t="s">
        <v>46</v>
      </c>
      <c r="AC2" s="3" t="s">
        <v>47</v>
      </c>
      <c r="AD2" s="3" t="s">
        <v>48</v>
      </c>
      <c r="AE2" s="3" t="s">
        <v>60</v>
      </c>
      <c r="AJ2" s="3">
        <v>2017</v>
      </c>
      <c r="AK2" s="3">
        <v>2018</v>
      </c>
      <c r="AL2" s="3">
        <f>+AK2+1</f>
        <v>2019</v>
      </c>
      <c r="AM2" s="3">
        <f t="shared" ref="AM2:AZ2" si="0">+AL2+1</f>
        <v>2020</v>
      </c>
      <c r="AN2" s="3">
        <f t="shared" si="0"/>
        <v>2021</v>
      </c>
      <c r="AO2" s="3">
        <f t="shared" si="0"/>
        <v>2022</v>
      </c>
      <c r="AP2" s="3">
        <f t="shared" si="0"/>
        <v>2023</v>
      </c>
      <c r="AQ2" s="3">
        <f t="shared" si="0"/>
        <v>2024</v>
      </c>
      <c r="AR2" s="3">
        <f t="shared" si="0"/>
        <v>2025</v>
      </c>
      <c r="AS2" s="3">
        <f t="shared" si="0"/>
        <v>2026</v>
      </c>
      <c r="AT2" s="3">
        <f t="shared" si="0"/>
        <v>2027</v>
      </c>
      <c r="AU2" s="3">
        <f t="shared" si="0"/>
        <v>2028</v>
      </c>
      <c r="AV2" s="3">
        <f t="shared" si="0"/>
        <v>2029</v>
      </c>
      <c r="AW2" s="3">
        <f t="shared" si="0"/>
        <v>2030</v>
      </c>
      <c r="AX2" s="3">
        <f t="shared" si="0"/>
        <v>2031</v>
      </c>
      <c r="AY2" s="3">
        <f t="shared" si="0"/>
        <v>2032</v>
      </c>
      <c r="AZ2" s="3">
        <f t="shared" si="0"/>
        <v>2033</v>
      </c>
    </row>
    <row r="3" spans="1:52" s="11" customFormat="1" x14ac:dyDescent="0.2">
      <c r="B3" s="6" t="s">
        <v>6</v>
      </c>
      <c r="M3" s="6"/>
      <c r="W3" s="11">
        <v>130.30000000000001</v>
      </c>
      <c r="X3" s="11">
        <f>267.1-W3</f>
        <v>136.80000000000001</v>
      </c>
      <c r="Y3" s="11">
        <v>150.30000000000001</v>
      </c>
      <c r="AA3" s="11">
        <v>196.3</v>
      </c>
      <c r="AB3" s="11">
        <v>203.6</v>
      </c>
      <c r="AC3" s="11">
        <v>193.8</v>
      </c>
      <c r="AD3" s="11">
        <v>189.7</v>
      </c>
      <c r="AE3" s="11">
        <v>181</v>
      </c>
      <c r="AQ3" s="11">
        <f>+SUM(AA3:AD3)</f>
        <v>783.40000000000009</v>
      </c>
    </row>
    <row r="4" spans="1:52" s="3" customFormat="1" x14ac:dyDescent="0.2">
      <c r="B4" s="2" t="s">
        <v>7</v>
      </c>
      <c r="M4"/>
      <c r="W4" s="3">
        <v>49.9</v>
      </c>
      <c r="X4" s="3">
        <f>109.2-W4</f>
        <v>59.300000000000004</v>
      </c>
      <c r="Y4" s="3">
        <v>63.3</v>
      </c>
      <c r="AA4" s="3">
        <v>64.599999999999994</v>
      </c>
      <c r="AB4" s="3">
        <v>75.900000000000006</v>
      </c>
      <c r="AC4" s="3">
        <v>84.4</v>
      </c>
      <c r="AD4" s="3">
        <v>110</v>
      </c>
      <c r="AE4" s="3">
        <v>88.5</v>
      </c>
      <c r="AQ4" s="11">
        <f>+SUM(AA4:AD4)</f>
        <v>334.9</v>
      </c>
    </row>
    <row r="5" spans="1:52" s="3" customFormat="1" x14ac:dyDescent="0.2">
      <c r="B5" s="2" t="s">
        <v>8</v>
      </c>
      <c r="M5"/>
      <c r="W5" s="3">
        <v>23.9</v>
      </c>
      <c r="X5" s="3">
        <f>49.7-W5</f>
        <v>25.800000000000004</v>
      </c>
      <c r="Y5" s="3">
        <v>29.5</v>
      </c>
      <c r="AA5" s="3">
        <v>36.9</v>
      </c>
      <c r="AB5" s="3">
        <v>42.2</v>
      </c>
      <c r="AC5" s="3">
        <v>42.4</v>
      </c>
      <c r="AD5" s="3">
        <v>46.1</v>
      </c>
      <c r="AE5" s="3">
        <v>45.3</v>
      </c>
      <c r="AQ5" s="11">
        <f>+SUM(AA5:AD5)</f>
        <v>167.6</v>
      </c>
    </row>
    <row r="6" spans="1:52" s="3" customFormat="1" x14ac:dyDescent="0.2">
      <c r="B6" s="12" t="s">
        <v>66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f>+SUM(W5+W4+W3)</f>
        <v>204.10000000000002</v>
      </c>
      <c r="X6" s="11">
        <f>+SUM(X5+X4+X3)</f>
        <v>221.90000000000003</v>
      </c>
      <c r="Y6" s="11">
        <f>+SUM(Y5+Y4+Y3)</f>
        <v>243.10000000000002</v>
      </c>
      <c r="Z6" s="11">
        <f>+SUM(Z5+Z4+Z3)</f>
        <v>0</v>
      </c>
      <c r="AA6" s="11">
        <f>+SUM(AA5+AA4+AA3)</f>
        <v>297.8</v>
      </c>
      <c r="AB6" s="11">
        <f>+SUM(AB5+AB4+AB3)</f>
        <v>321.7</v>
      </c>
      <c r="AC6" s="11">
        <f>+SUM(AC5+AC4+AC3)</f>
        <v>320.60000000000002</v>
      </c>
      <c r="AD6" s="11">
        <f>+SUM(AD5+AD4+AD3)</f>
        <v>345.79999999999995</v>
      </c>
      <c r="AE6" s="11">
        <f>+SUM(AE5+AE4+AE3)</f>
        <v>314.8</v>
      </c>
      <c r="AQ6" s="11">
        <f>+SUM(AQ5+AQ4+AQ3)</f>
        <v>1285.9000000000001</v>
      </c>
    </row>
    <row r="7" spans="1:52" s="3" customFormat="1" x14ac:dyDescent="0.2">
      <c r="B7" s="12"/>
      <c r="M7"/>
      <c r="AA7" s="11"/>
      <c r="AB7" s="11"/>
      <c r="AC7" s="11"/>
      <c r="AD7" s="11"/>
      <c r="AE7" s="11"/>
    </row>
    <row r="8" spans="1:52" s="3" customFormat="1" x14ac:dyDescent="0.2">
      <c r="B8" s="6" t="s">
        <v>62</v>
      </c>
      <c r="M8"/>
      <c r="AA8" s="11">
        <v>283.15199999999999</v>
      </c>
      <c r="AB8" s="11">
        <v>297.01</v>
      </c>
      <c r="AC8" s="11">
        <v>304.48399999999998</v>
      </c>
      <c r="AD8" s="11">
        <v>344.90100000000001</v>
      </c>
      <c r="AE8" s="11">
        <v>320.38600000000002</v>
      </c>
      <c r="AQ8" s="11">
        <f>+SUM(AA8:AD8)</f>
        <v>1229.547</v>
      </c>
    </row>
    <row r="9" spans="1:52" s="3" customFormat="1" x14ac:dyDescent="0.2">
      <c r="B9" s="2" t="s">
        <v>63</v>
      </c>
      <c r="M9"/>
      <c r="AA9" s="11">
        <v>120.78</v>
      </c>
      <c r="AB9" s="11">
        <v>134.88</v>
      </c>
      <c r="AC9" s="11">
        <v>148.09299999999999</v>
      </c>
      <c r="AD9" s="11">
        <v>186.721</v>
      </c>
      <c r="AE9" s="11">
        <v>158.78800000000001</v>
      </c>
      <c r="AQ9" s="11">
        <f>+SUM(AA9:AD9)</f>
        <v>590.47399999999993</v>
      </c>
    </row>
    <row r="10" spans="1:52" s="3" customFormat="1" x14ac:dyDescent="0.2">
      <c r="B10" s="2" t="s">
        <v>64</v>
      </c>
      <c r="M10"/>
      <c r="AA10" s="11">
        <v>34.070999999999998</v>
      </c>
      <c r="AB10" s="11">
        <v>43.487000000000002</v>
      </c>
      <c r="AC10" s="11">
        <v>45.692999999999998</v>
      </c>
      <c r="AD10" s="11">
        <v>52.802</v>
      </c>
      <c r="AE10" s="11">
        <v>55.476999999999997</v>
      </c>
      <c r="AQ10" s="11">
        <f>+SUM(AA10:AD10)</f>
        <v>176.053</v>
      </c>
    </row>
    <row r="11" spans="1:52" s="3" customFormat="1" x14ac:dyDescent="0.2">
      <c r="B11" s="12" t="s">
        <v>65</v>
      </c>
      <c r="M11"/>
      <c r="AA11" s="11">
        <f>+SUM(AA8:AA10)</f>
        <v>438.00300000000004</v>
      </c>
      <c r="AB11" s="11">
        <f>+SUM(AB8:AB10)</f>
        <v>475.37700000000001</v>
      </c>
      <c r="AC11" s="11">
        <f>+SUM(AC8:AC10)</f>
        <v>498.27</v>
      </c>
      <c r="AD11" s="11">
        <f>+SUM(AD8:AD10)</f>
        <v>584.42400000000009</v>
      </c>
      <c r="AE11" s="11">
        <f>+SUM(AE8:AE10)</f>
        <v>534.65100000000007</v>
      </c>
    </row>
    <row r="13" spans="1:52" s="7" customFormat="1" x14ac:dyDescent="0.2">
      <c r="B13" s="7" t="s">
        <v>90</v>
      </c>
      <c r="D13" s="7">
        <f>165.704-C13</f>
        <v>165.70400000000001</v>
      </c>
      <c r="F13" s="7">
        <f>207.742-E13</f>
        <v>207.74199999999999</v>
      </c>
      <c r="H13" s="7">
        <f>237.667-G13</f>
        <v>237.667</v>
      </c>
      <c r="J13" s="7">
        <f>296.633-I13</f>
        <v>296.63299999999998</v>
      </c>
      <c r="L13" s="7">
        <f>304.807-K13</f>
        <v>304.80700000000002</v>
      </c>
      <c r="N13" s="7">
        <f>379.393-M13</f>
        <v>379.39299999999997</v>
      </c>
      <c r="P13" s="7">
        <f>445.021-O13</f>
        <v>445.02100000000002</v>
      </c>
      <c r="R13" s="7">
        <f>556.496-Q13</f>
        <v>556.49599999999998</v>
      </c>
      <c r="T13" s="7">
        <f>608.529-S13</f>
        <v>608.529</v>
      </c>
      <c r="V13" s="7">
        <f>721.637-U13</f>
        <v>721.63699999999994</v>
      </c>
      <c r="X13" s="7">
        <f>739.107-W13</f>
        <v>739.10699999999997</v>
      </c>
      <c r="Z13" s="7">
        <f>886.954-Y13</f>
        <v>886.95399999999995</v>
      </c>
      <c r="AB13" s="7">
        <f>924.01-AA13</f>
        <v>924.01</v>
      </c>
      <c r="AD13" s="7">
        <f>1091.868-AC13</f>
        <v>1091.8679999999999</v>
      </c>
      <c r="AE13" s="7">
        <v>534.70000000000005</v>
      </c>
      <c r="AL13" s="7">
        <v>534.29999999999973</v>
      </c>
      <c r="AM13" s="7">
        <v>684.20000000000027</v>
      </c>
      <c r="AN13" s="7">
        <v>1001.5169999999998</v>
      </c>
      <c r="AO13" s="7">
        <v>1330.1660000000011</v>
      </c>
      <c r="AP13" s="7">
        <v>1625.961</v>
      </c>
      <c r="AQ13" s="7">
        <v>1997.0740000000001</v>
      </c>
    </row>
  </sheetData>
  <hyperlinks>
    <hyperlink ref="A1" location="Main!A1" display="Main" xr:uid="{57D100BE-A9A7-4689-BEFA-7256097FF7B5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15D3-71F1-4534-9B03-14939FFA37E1}">
  <dimension ref="A1:J1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10" x14ac:dyDescent="0.2">
      <c r="A1" s="19" t="s">
        <v>70</v>
      </c>
    </row>
    <row r="3" spans="1:10" x14ac:dyDescent="0.2">
      <c r="C3" s="3">
        <v>2017</v>
      </c>
      <c r="D3" s="3">
        <v>2018</v>
      </c>
      <c r="E3" s="3">
        <f>+D3+1</f>
        <v>2019</v>
      </c>
      <c r="F3" s="3">
        <f t="shared" ref="F3:J3" si="0">+E3+1</f>
        <v>2020</v>
      </c>
      <c r="G3" s="3">
        <f t="shared" si="0"/>
        <v>2021</v>
      </c>
      <c r="H3" s="3">
        <f t="shared" si="0"/>
        <v>2022</v>
      </c>
      <c r="I3" s="3">
        <f t="shared" si="0"/>
        <v>2023</v>
      </c>
      <c r="J3" s="3">
        <f t="shared" si="0"/>
        <v>2024</v>
      </c>
    </row>
    <row r="4" spans="1:10" s="2" customFormat="1" x14ac:dyDescent="0.2">
      <c r="B4" s="2" t="s">
        <v>81</v>
      </c>
      <c r="I4" s="2">
        <v>1041.039</v>
      </c>
      <c r="J4" s="2">
        <v>1276.883</v>
      </c>
    </row>
    <row r="5" spans="1:10" s="2" customFormat="1" x14ac:dyDescent="0.2">
      <c r="B5" s="2" t="s">
        <v>82</v>
      </c>
      <c r="I5" s="2">
        <v>492.46</v>
      </c>
      <c r="J5" s="2">
        <v>599.25300000000004</v>
      </c>
    </row>
    <row r="6" spans="1:10" s="2" customFormat="1" x14ac:dyDescent="0.2">
      <c r="B6" s="2" t="s">
        <v>83</v>
      </c>
      <c r="I6" s="2">
        <v>208.82</v>
      </c>
      <c r="J6" s="2">
        <v>230.21600000000001</v>
      </c>
    </row>
    <row r="7" spans="1:10" s="2" customFormat="1" x14ac:dyDescent="0.2">
      <c r="B7" s="2" t="s">
        <v>84</v>
      </c>
      <c r="I7" s="2">
        <v>121.087</v>
      </c>
      <c r="J7" s="2">
        <v>119.249</v>
      </c>
    </row>
    <row r="8" spans="1:10" x14ac:dyDescent="0.2">
      <c r="B8" s="12" t="s">
        <v>59</v>
      </c>
      <c r="I8" s="2">
        <f>+SUM(I4:I7)</f>
        <v>1863.4059999999999</v>
      </c>
      <c r="J8" s="2">
        <f>+SUM(J4:J7)</f>
        <v>2225.6009999999997</v>
      </c>
    </row>
    <row r="9" spans="1:10" x14ac:dyDescent="0.2">
      <c r="B9" s="12"/>
      <c r="I9" s="2"/>
      <c r="J9" s="2"/>
    </row>
    <row r="10" spans="1:10" s="8" customFormat="1" x14ac:dyDescent="0.2">
      <c r="B10" s="8" t="s">
        <v>81</v>
      </c>
      <c r="I10" s="8">
        <f>+I4/$I$8</f>
        <v>0.55867535040672833</v>
      </c>
      <c r="J10" s="8">
        <f>+J4/$J$8</f>
        <v>0.57372502977847339</v>
      </c>
    </row>
    <row r="11" spans="1:10" s="8" customFormat="1" x14ac:dyDescent="0.2">
      <c r="B11" s="8" t="s">
        <v>82</v>
      </c>
      <c r="I11" s="8">
        <f t="shared" ref="I11:I13" si="1">+I5/$I$8</f>
        <v>0.26427949679243279</v>
      </c>
      <c r="J11" s="8">
        <f t="shared" ref="J11:J13" si="2">+J5/$J$8</f>
        <v>0.26925446205317133</v>
      </c>
    </row>
    <row r="12" spans="1:10" s="8" customFormat="1" x14ac:dyDescent="0.2">
      <c r="B12" s="8" t="s">
        <v>83</v>
      </c>
      <c r="I12" s="8">
        <f t="shared" si="1"/>
        <v>0.11206360825284452</v>
      </c>
      <c r="J12" s="8">
        <f t="shared" si="2"/>
        <v>0.10343992476638897</v>
      </c>
    </row>
    <row r="13" spans="1:10" s="8" customFormat="1" x14ac:dyDescent="0.2">
      <c r="B13" s="8" t="s">
        <v>84</v>
      </c>
      <c r="I13" s="8">
        <f t="shared" si="1"/>
        <v>6.4981544547994374E-2</v>
      </c>
      <c r="J13" s="8">
        <f t="shared" si="2"/>
        <v>5.3580583401966489E-2</v>
      </c>
    </row>
  </sheetData>
  <hyperlinks>
    <hyperlink ref="A1" location="Main!A1" display="Main" xr:uid="{453C4838-3AEE-42C8-B4E1-F5C5772CA6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Processing</vt:lpstr>
      <vt:lpstr>Geograpics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2024-04-25T14:09:02Z</dcterms:created>
  <dcterms:modified xsi:type="dcterms:W3CDTF">2025-04-30T19:48:59Z</dcterms:modified>
</cp:coreProperties>
</file>