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E6524762-E6DC-47B9-8492-054431272C32}" xr6:coauthVersionLast="47" xr6:coauthVersionMax="47" xr10:uidLastSave="{00000000-0000-0000-0000-000000000000}"/>
  <bookViews>
    <workbookView xWindow="-120" yWindow="-120" windowWidth="29040" windowHeight="15840" activeTab="1" xr2:uid="{1A235A78-AFAF-4CCF-A988-D29AB0ACE1DA}"/>
  </bookViews>
  <sheets>
    <sheet name="Main" sheetId="1" r:id="rId1"/>
    <sheet name="Financials" sheetId="2" r:id="rId2"/>
    <sheet name="Multi-Sector Holdings" sheetId="9" r:id="rId3"/>
    <sheet name="Data Processing &amp; Outsourced Se" sheetId="8" r:id="rId4"/>
    <sheet name="Diversified Banks" sheetId="7" r:id="rId5"/>
    <sheet name="Consumer Finance" sheetId="6" r:id="rId6"/>
    <sheet name="Investment Banking &amp; Brokerage" sheetId="5" r:id="rId7"/>
    <sheet name="Property &amp; Casualty Insurance" sheetId="4" r:id="rId8"/>
    <sheet name="Asset Management &amp; Custody Bank" sheetId="3" r:id="rId9"/>
  </sheets>
  <externalReferences>
    <externalReference r:id="rId10"/>
    <externalReference r:id="rId11"/>
    <externalReference r:id="rId12"/>
    <externalReference r:id="rId13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2" l="1"/>
  <c r="R18" i="2"/>
  <c r="Q18" i="2"/>
  <c r="P18" i="2"/>
  <c r="O18" i="2"/>
  <c r="H17" i="2"/>
  <c r="J17" i="2" s="1"/>
  <c r="S17" i="2" s="1"/>
  <c r="H16" i="2"/>
  <c r="J16" i="2" s="1"/>
  <c r="H15" i="2"/>
  <c r="J15" i="2" s="1"/>
  <c r="H14" i="2"/>
  <c r="J14" i="2" s="1"/>
  <c r="H13" i="2"/>
  <c r="J13" i="2" s="1"/>
  <c r="H12" i="2"/>
  <c r="J12" i="2" s="1"/>
  <c r="H11" i="2"/>
  <c r="J11" i="2" s="1"/>
  <c r="H10" i="2"/>
  <c r="J10" i="2" s="1"/>
  <c r="H9" i="2"/>
  <c r="J9" i="2" s="1"/>
  <c r="H8" i="2"/>
  <c r="J8" i="2" s="1"/>
  <c r="H7" i="2"/>
  <c r="J7" i="2" s="1"/>
  <c r="H6" i="2"/>
  <c r="J6" i="2" s="1"/>
  <c r="I18" i="2"/>
  <c r="K18" i="2"/>
  <c r="H18" i="2" s="1"/>
  <c r="J18" i="2" s="1"/>
  <c r="S14" i="2" l="1"/>
  <c r="U14" i="2"/>
  <c r="V14" i="2"/>
  <c r="X14" i="2"/>
  <c r="T14" i="2"/>
  <c r="V13" i="2"/>
  <c r="U13" i="2"/>
  <c r="T13" i="2"/>
  <c r="S13" i="2"/>
  <c r="X13" i="2"/>
  <c r="V15" i="2"/>
  <c r="U15" i="2"/>
  <c r="T15" i="2"/>
  <c r="X15" i="2"/>
  <c r="S15" i="2"/>
  <c r="V16" i="2"/>
  <c r="U16" i="2"/>
  <c r="T16" i="2"/>
  <c r="S16" i="2"/>
  <c r="X16" i="2"/>
  <c r="X6" i="2"/>
  <c r="V6" i="2"/>
  <c r="U6" i="2"/>
  <c r="T6" i="2"/>
  <c r="S6" i="2"/>
  <c r="X18" i="2"/>
  <c r="V18" i="2"/>
  <c r="U18" i="2"/>
  <c r="T18" i="2"/>
  <c r="V7" i="2"/>
  <c r="U7" i="2"/>
  <c r="T7" i="2"/>
  <c r="X7" i="2"/>
  <c r="S7" i="2"/>
  <c r="S8" i="2"/>
  <c r="X8" i="2"/>
  <c r="U8" i="2"/>
  <c r="V8" i="2"/>
  <c r="T8" i="2"/>
  <c r="X10" i="2"/>
  <c r="V10" i="2"/>
  <c r="U10" i="2"/>
  <c r="T10" i="2"/>
  <c r="S10" i="2"/>
  <c r="X9" i="2"/>
  <c r="V9" i="2"/>
  <c r="U9" i="2"/>
  <c r="T9" i="2"/>
  <c r="S9" i="2"/>
  <c r="X11" i="2"/>
  <c r="S11" i="2"/>
  <c r="V11" i="2"/>
  <c r="U11" i="2"/>
  <c r="T11" i="2"/>
  <c r="V12" i="2"/>
  <c r="U12" i="2"/>
  <c r="T12" i="2"/>
  <c r="S12" i="2"/>
  <c r="X12" i="2"/>
  <c r="T17" i="2"/>
  <c r="V17" i="2"/>
  <c r="X17" i="2"/>
  <c r="S18" i="2"/>
  <c r="U17" i="2"/>
  <c r="V3" i="6"/>
  <c r="Q3" i="6"/>
  <c r="P3" i="6"/>
  <c r="O3" i="6"/>
  <c r="N3" i="6"/>
  <c r="J3" i="6"/>
  <c r="G3" i="6" s="1"/>
  <c r="H3" i="6"/>
  <c r="W5" i="2"/>
  <c r="R5" i="2"/>
  <c r="Q5" i="2"/>
  <c r="P5" i="2"/>
  <c r="O5" i="2"/>
  <c r="K5" i="2"/>
  <c r="H5" i="2" s="1"/>
  <c r="I5" i="2"/>
  <c r="W4" i="2"/>
  <c r="R4" i="2"/>
  <c r="Q4" i="2"/>
  <c r="P4" i="2"/>
  <c r="O4" i="2"/>
  <c r="K4" i="2"/>
  <c r="H4" i="2" s="1"/>
  <c r="J4" i="2" s="1"/>
  <c r="I4" i="2"/>
  <c r="W3" i="2"/>
  <c r="R3" i="2"/>
  <c r="Q3" i="2"/>
  <c r="P3" i="2"/>
  <c r="O3" i="2"/>
  <c r="K3" i="2"/>
  <c r="H3" i="2" s="1"/>
  <c r="I3" i="2"/>
  <c r="I3" i="6" l="1"/>
  <c r="R3" i="6" s="1"/>
  <c r="J3" i="2"/>
  <c r="X3" i="2" s="1"/>
  <c r="J5" i="2"/>
  <c r="X5" i="2"/>
  <c r="V5" i="2"/>
  <c r="U5" i="2"/>
  <c r="T5" i="2"/>
  <c r="S5" i="2"/>
  <c r="X4" i="2"/>
  <c r="V4" i="2"/>
  <c r="U4" i="2"/>
  <c r="T4" i="2"/>
  <c r="S4" i="2"/>
  <c r="V3" i="2"/>
  <c r="S3" i="6" l="1"/>
  <c r="U3" i="6"/>
  <c r="T3" i="6"/>
  <c r="W3" i="6"/>
  <c r="U3" i="2"/>
  <c r="T3" i="2"/>
  <c r="S3" i="2"/>
  <c r="V4" i="8"/>
  <c r="Q4" i="8"/>
  <c r="P4" i="8"/>
  <c r="O4" i="8"/>
  <c r="N4" i="8"/>
  <c r="J4" i="8"/>
  <c r="G4" i="8" s="1"/>
  <c r="H4" i="8"/>
  <c r="V3" i="8"/>
  <c r="Q3" i="8"/>
  <c r="P3" i="8"/>
  <c r="O3" i="8"/>
  <c r="N3" i="8"/>
  <c r="J3" i="8"/>
  <c r="H3" i="8"/>
  <c r="G3" i="8"/>
  <c r="I3" i="8" s="1"/>
  <c r="I4" i="8" l="1"/>
  <c r="W4" i="8"/>
  <c r="U4" i="8"/>
  <c r="R4" i="8"/>
  <c r="T4" i="8"/>
  <c r="S4" i="8"/>
  <c r="W3" i="8"/>
  <c r="U3" i="8"/>
  <c r="T3" i="8"/>
  <c r="S3" i="8"/>
  <c r="R3" i="8"/>
</calcChain>
</file>

<file path=xl/sharedStrings.xml><?xml version="1.0" encoding="utf-8"?>
<sst xmlns="http://schemas.openxmlformats.org/spreadsheetml/2006/main" count="231" uniqueCount="50">
  <si>
    <t>Ticker</t>
  </si>
  <si>
    <t>Name</t>
  </si>
  <si>
    <t>Sector</t>
  </si>
  <si>
    <t>Sub-sector</t>
  </si>
  <si>
    <t>Price</t>
  </si>
  <si>
    <t>MC</t>
  </si>
  <si>
    <t>Net cash</t>
  </si>
  <si>
    <t>EV</t>
  </si>
  <si>
    <t>S/O</t>
  </si>
  <si>
    <t>Updated</t>
  </si>
  <si>
    <t>Last</t>
  </si>
  <si>
    <t>Growth %</t>
  </si>
  <si>
    <t>TTM NI</t>
  </si>
  <si>
    <t>TTM EV/E</t>
  </si>
  <si>
    <t>TTM FCF</t>
  </si>
  <si>
    <t>EV/FCF</t>
  </si>
  <si>
    <t>ROTA</t>
  </si>
  <si>
    <t>Founded</t>
  </si>
  <si>
    <t>HQ</t>
  </si>
  <si>
    <t>Investor Relations</t>
  </si>
  <si>
    <t>Main</t>
  </si>
  <si>
    <t>V</t>
  </si>
  <si>
    <t>Visa</t>
  </si>
  <si>
    <t>Financials</t>
  </si>
  <si>
    <t>Data Processing &amp; Outsourced Services</t>
  </si>
  <si>
    <t>FQ125</t>
  </si>
  <si>
    <t>Foster City, California, United States</t>
  </si>
  <si>
    <t>https://investor.visa.com/</t>
  </si>
  <si>
    <t>MA</t>
  </si>
  <si>
    <t>Mastercard</t>
  </si>
  <si>
    <t>Q424</t>
  </si>
  <si>
    <t>Purchase, Harrison, New York, United States</t>
  </si>
  <si>
    <t>https://investor.mastercard.com/overview/default.aspx</t>
  </si>
  <si>
    <t>X</t>
  </si>
  <si>
    <t>AXP</t>
  </si>
  <si>
    <t>American Express</t>
  </si>
  <si>
    <t>Consumer Finance</t>
  </si>
  <si>
    <t>Q125</t>
  </si>
  <si>
    <t>New York City, New York, United States</t>
  </si>
  <si>
    <t>https://ir.americanexpress.com/investor-relations/default.aspx</t>
  </si>
  <si>
    <t>TPV</t>
  </si>
  <si>
    <t>SEC Fillings</t>
  </si>
  <si>
    <t>Models</t>
  </si>
  <si>
    <t>PYPL</t>
  </si>
  <si>
    <t>PayPal</t>
  </si>
  <si>
    <t>https://investor.pypl.com/home/</t>
  </si>
  <si>
    <t>San Jose, California, United States</t>
  </si>
  <si>
    <t>(Billions)</t>
  </si>
  <si>
    <t>Stripe</t>
  </si>
  <si>
    <t>Adyen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</si>
</sst>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3]d/mmm;@"/>
    <numFmt numFmtId="165" formatCode="d/mm/yy;@"/>
    <numFmt numFmtId="166" formatCode="0\x"/>
  </numFmts>
  <fonts count="5" x14ac:knownFonts="1"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3" fillId="0" borderId="0" xfId="1"/>
    <xf numFmtId="16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1" applyAlignment="1">
      <alignment horizontal="center"/>
    </xf>
    <xf numFmtId="9" fontId="2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Software\Fintech\V.xlsx" TargetMode="External"/><Relationship Id="rId1" Type="http://schemas.openxmlformats.org/officeDocument/2006/relationships/externalLinkPath" Target="/Users/denni/Desktop/CompanyResearchModels/Software/Fintech/V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Software\Fintech\MA.xlsx" TargetMode="External"/><Relationship Id="rId1" Type="http://schemas.openxmlformats.org/officeDocument/2006/relationships/externalLinkPath" Target="/Users/denni/Desktop/CompanyResearchModels/Software/Fintech/M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Software\Fintech\AXP.xlsx" TargetMode="External"/><Relationship Id="rId1" Type="http://schemas.openxmlformats.org/officeDocument/2006/relationships/externalLinkPath" Target="/Users/denni/Desktop/CompanyResearchModels/Software/Fintech/AXP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ModelsResearchMetrics\Models\PYPL.xlsx" TargetMode="External"/><Relationship Id="rId1" Type="http://schemas.openxmlformats.org/officeDocument/2006/relationships/externalLinkPath" Target="PY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 refreshError="1">
        <row r="4">
          <cell r="L4">
            <v>1732.602987</v>
          </cell>
        </row>
        <row r="6">
          <cell r="L6">
            <v>19203</v>
          </cell>
        </row>
        <row r="7">
          <cell r="L7">
            <v>20609</v>
          </cell>
        </row>
      </sheetData>
      <sheetData sheetId="1" refreshError="1">
        <row r="46">
          <cell r="L46">
            <v>4967</v>
          </cell>
          <cell r="M46">
            <v>5149</v>
          </cell>
          <cell r="N46">
            <v>5602</v>
          </cell>
          <cell r="O46">
            <v>5627</v>
          </cell>
          <cell r="X46">
            <v>21239</v>
          </cell>
          <cell r="Y46">
            <v>21980.030719999999</v>
          </cell>
          <cell r="Z46">
            <v>23839.646246400007</v>
          </cell>
        </row>
        <row r="110">
          <cell r="L110">
            <v>4257</v>
          </cell>
          <cell r="M110">
            <v>4734</v>
          </cell>
          <cell r="N110">
            <v>6355</v>
          </cell>
          <cell r="O110">
            <v>5051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 refreshError="1">
        <row r="4">
          <cell r="L4">
            <v>911.70850599999994</v>
          </cell>
        </row>
        <row r="6">
          <cell r="L6">
            <v>8772</v>
          </cell>
        </row>
        <row r="7">
          <cell r="L7">
            <v>18226</v>
          </cell>
        </row>
      </sheetData>
      <sheetData sheetId="1" refreshError="1">
        <row r="27">
          <cell r="G27">
            <v>3249</v>
          </cell>
          <cell r="H27">
            <v>3525</v>
          </cell>
          <cell r="I27">
            <v>3643</v>
          </cell>
          <cell r="J27">
            <v>3706</v>
          </cell>
          <cell r="U27">
            <v>14123</v>
          </cell>
          <cell r="V27">
            <v>14778.045896</v>
          </cell>
          <cell r="W27">
            <v>16146.540728144002</v>
          </cell>
        </row>
        <row r="40">
          <cell r="G40">
            <v>1515</v>
          </cell>
          <cell r="H40">
            <v>3023</v>
          </cell>
          <cell r="I40">
            <v>5029</v>
          </cell>
          <cell r="J40">
            <v>4739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 refreshError="1">
        <row r="4">
          <cell r="L4">
            <v>700.58887000000004</v>
          </cell>
        </row>
        <row r="6">
          <cell r="L6">
            <v>51089</v>
          </cell>
        </row>
        <row r="7">
          <cell r="L7">
            <v>52795</v>
          </cell>
        </row>
      </sheetData>
      <sheetData sheetId="1" refreshError="1">
        <row r="19">
          <cell r="S19">
            <v>10129</v>
          </cell>
        </row>
        <row r="28">
          <cell r="H28">
            <v>3015</v>
          </cell>
          <cell r="I28">
            <v>2507</v>
          </cell>
          <cell r="J28">
            <v>2170</v>
          </cell>
          <cell r="K28">
            <v>2584</v>
          </cell>
          <cell r="W28">
            <v>10129</v>
          </cell>
          <cell r="X28">
            <v>11343.136000000004</v>
          </cell>
          <cell r="Y28">
            <v>12667.979840000004</v>
          </cell>
        </row>
        <row r="85">
          <cell r="H85">
            <v>9123</v>
          </cell>
          <cell r="I85">
            <v>6856</v>
          </cell>
          <cell r="J85">
            <v>-8996</v>
          </cell>
          <cell r="K85">
            <v>4334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999</v>
          </cell>
        </row>
        <row r="5">
          <cell r="K5">
            <v>15824</v>
          </cell>
        </row>
        <row r="6">
          <cell r="K6">
            <v>11417</v>
          </cell>
        </row>
      </sheetData>
      <sheetData sheetId="1">
        <row r="26">
          <cell r="O26">
            <v>1241</v>
          </cell>
          <cell r="P26">
            <v>1073</v>
          </cell>
          <cell r="Q26">
            <v>1171</v>
          </cell>
          <cell r="R26">
            <v>1353</v>
          </cell>
          <cell r="AB26">
            <v>4585</v>
          </cell>
          <cell r="AC26">
            <v>5008.9716300000018</v>
          </cell>
          <cell r="AD26">
            <v>5598.2265096419997</v>
          </cell>
        </row>
        <row r="94">
          <cell r="O94">
            <v>1368</v>
          </cell>
          <cell r="P94">
            <v>1445</v>
          </cell>
          <cell r="Q94">
            <v>2192</v>
          </cell>
          <cell r="R94">
            <v>966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r.americanexpress.com/investor-relations/default.aspx" TargetMode="External"/><Relationship Id="rId3" Type="http://schemas.openxmlformats.org/officeDocument/2006/relationships/hyperlink" Target="https://investor.visa.com/" TargetMode="External"/><Relationship Id="rId7" Type="http://schemas.openxmlformats.org/officeDocument/2006/relationships/hyperlink" Target="AXP.xlsx" TargetMode="External"/><Relationship Id="rId2" Type="http://schemas.openxmlformats.org/officeDocument/2006/relationships/hyperlink" Target="https://www.sec.gov/edgar/browse/?CIK=1403161&amp;owner=exclude" TargetMode="External"/><Relationship Id="rId1" Type="http://schemas.openxmlformats.org/officeDocument/2006/relationships/hyperlink" Target="V.xlsx" TargetMode="External"/><Relationship Id="rId6" Type="http://schemas.openxmlformats.org/officeDocument/2006/relationships/hyperlink" Target="https://investor.mastercard.com/overview/default.aspx" TargetMode="External"/><Relationship Id="rId11" Type="http://schemas.openxmlformats.org/officeDocument/2006/relationships/hyperlink" Target="https://www.sec.gov/edgar/browse/?CIK=1633917&amp;owner=exclude" TargetMode="External"/><Relationship Id="rId5" Type="http://schemas.openxmlformats.org/officeDocument/2006/relationships/hyperlink" Target="https://www.sec.gov/edgar/browse/?CIK=1141391&amp;owner=exclude" TargetMode="External"/><Relationship Id="rId10" Type="http://schemas.openxmlformats.org/officeDocument/2006/relationships/hyperlink" Target="https://investor.pypl.com/home/" TargetMode="External"/><Relationship Id="rId4" Type="http://schemas.openxmlformats.org/officeDocument/2006/relationships/hyperlink" Target="MA.xlsx" TargetMode="External"/><Relationship Id="rId9" Type="http://schemas.openxmlformats.org/officeDocument/2006/relationships/hyperlink" Target="https://www.sec.gov/edgar/browse/?CIK=4962&amp;owner=exclud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nvestor.visa.com/" TargetMode="External"/><Relationship Id="rId2" Type="http://schemas.openxmlformats.org/officeDocument/2006/relationships/hyperlink" Target="https://www.sec.gov/edgar/browse/?CIK=1403161&amp;owner=exclude" TargetMode="External"/><Relationship Id="rId1" Type="http://schemas.openxmlformats.org/officeDocument/2006/relationships/hyperlink" Target="V.xlsx" TargetMode="External"/><Relationship Id="rId6" Type="http://schemas.openxmlformats.org/officeDocument/2006/relationships/hyperlink" Target="https://investor.mastercard.com/overview/default.aspx" TargetMode="External"/><Relationship Id="rId5" Type="http://schemas.openxmlformats.org/officeDocument/2006/relationships/hyperlink" Target="https://www.sec.gov/edgar/browse/?CIK=1141391&amp;owner=exclude" TargetMode="External"/><Relationship Id="rId4" Type="http://schemas.openxmlformats.org/officeDocument/2006/relationships/hyperlink" Target="MA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edgar/browse/?CIK=4962&amp;owner=exclude" TargetMode="External"/><Relationship Id="rId2" Type="http://schemas.openxmlformats.org/officeDocument/2006/relationships/hyperlink" Target="https://ir.americanexpress.com/investor-relations/default.aspx" TargetMode="External"/><Relationship Id="rId1" Type="http://schemas.openxmlformats.org/officeDocument/2006/relationships/hyperlink" Target="AXP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E315A-A8E1-41DA-B5BA-B6264E207321}">
  <dimension ref="A1"/>
  <sheetViews>
    <sheetView workbookViewId="0">
      <selection activeCell="B2" sqref="B2"/>
    </sheetView>
  </sheetViews>
  <sheetFormatPr defaultRowHeight="12.75" x14ac:dyDescent="0.2"/>
  <cols>
    <col min="1" max="1" width="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FBBF8-3FBD-4264-828C-C5AF3E776553}">
  <dimension ref="A1:AW21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2" sqref="H32"/>
    </sheetView>
  </sheetViews>
  <sheetFormatPr defaultRowHeight="12.75" x14ac:dyDescent="0.2"/>
  <cols>
    <col min="1" max="1" width="6.140625" style="22" bestFit="1" customWidth="1"/>
    <col min="3" max="3" width="12.7109375" customWidth="1"/>
    <col min="4" max="4" width="9.42578125" bestFit="1" customWidth="1"/>
    <col min="5" max="5" width="35.140625" bestFit="1" customWidth="1"/>
    <col min="6" max="6" width="9.140625" style="20"/>
    <col min="7" max="11" width="9.140625" style="22"/>
    <col min="12" max="12" width="9.140625" style="21"/>
    <col min="13" max="13" width="9.140625" style="22"/>
    <col min="14" max="14" width="9.140625" style="23"/>
    <col min="15" max="18" width="9.140625" style="22"/>
    <col min="19" max="22" width="9.140625" style="24"/>
    <col min="23" max="23" width="9.140625" style="22"/>
    <col min="24" max="24" width="9.140625" style="24"/>
    <col min="25" max="25" width="9.140625" style="23"/>
    <col min="26" max="26" width="9.140625" style="22"/>
    <col min="27" max="28" width="9.140625" style="25"/>
    <col min="29" max="29" width="9.140625" style="22"/>
  </cols>
  <sheetData>
    <row r="1" spans="1:49" x14ac:dyDescent="0.2">
      <c r="A1" s="30" t="s">
        <v>20</v>
      </c>
      <c r="B1" s="29" t="s">
        <v>41</v>
      </c>
      <c r="C1" s="29" t="s">
        <v>42</v>
      </c>
      <c r="F1" s="32" t="s">
        <v>47</v>
      </c>
    </row>
    <row r="2" spans="1:49" s="14" customFormat="1" ht="12.95" customHeight="1" x14ac:dyDescent="0.2">
      <c r="A2" s="1"/>
      <c r="B2" s="2" t="s">
        <v>0</v>
      </c>
      <c r="C2" s="3" t="s">
        <v>1</v>
      </c>
      <c r="D2" s="3" t="s">
        <v>2</v>
      </c>
      <c r="E2" s="2" t="s">
        <v>3</v>
      </c>
      <c r="F2" s="5" t="s">
        <v>40</v>
      </c>
      <c r="G2" s="4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6" t="s">
        <v>9</v>
      </c>
      <c r="M2" s="7" t="s">
        <v>10</v>
      </c>
      <c r="N2" s="8" t="s">
        <v>11</v>
      </c>
      <c r="O2" s="5" t="s">
        <v>12</v>
      </c>
      <c r="P2" s="9">
        <v>2024</v>
      </c>
      <c r="Q2" s="9">
        <v>2025</v>
      </c>
      <c r="R2" s="9">
        <v>2026</v>
      </c>
      <c r="S2" s="10" t="s">
        <v>13</v>
      </c>
      <c r="T2" s="10">
        <v>2024</v>
      </c>
      <c r="U2" s="10">
        <v>2025</v>
      </c>
      <c r="V2" s="10">
        <v>2026</v>
      </c>
      <c r="W2" s="5" t="s">
        <v>14</v>
      </c>
      <c r="X2" s="10" t="s">
        <v>15</v>
      </c>
      <c r="Y2" s="8" t="s">
        <v>16</v>
      </c>
      <c r="Z2" s="11" t="s">
        <v>17</v>
      </c>
      <c r="AA2" s="31" t="s">
        <v>18</v>
      </c>
      <c r="AB2" s="2" t="s">
        <v>19</v>
      </c>
      <c r="AC2" s="10"/>
      <c r="AJ2" s="15"/>
      <c r="AK2" s="15"/>
      <c r="AL2" s="13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r="3" spans="1:49" x14ac:dyDescent="0.2">
      <c r="A3" s="18">
        <v>45776</v>
      </c>
      <c r="B3" s="17" t="s">
        <v>21</v>
      </c>
      <c r="C3" s="17" t="s">
        <v>22</v>
      </c>
      <c r="D3" t="s">
        <v>23</v>
      </c>
      <c r="E3" t="s">
        <v>24</v>
      </c>
      <c r="F3" s="20">
        <v>13191</v>
      </c>
      <c r="G3" s="19">
        <v>335.81</v>
      </c>
      <c r="H3" s="20">
        <f t="shared" ref="H3" si="0">+G3*K3</f>
        <v>581825.40906446998</v>
      </c>
      <c r="I3" s="20">
        <f>+[1]Main!$L$6-[1]Main!$L$7</f>
        <v>-1406</v>
      </c>
      <c r="J3" s="20">
        <f t="shared" ref="J3" si="1">+H3-I3</f>
        <v>583231.40906446998</v>
      </c>
      <c r="K3" s="20">
        <f>+[1]Main!$L$4</f>
        <v>1732.602987</v>
      </c>
      <c r="L3" s="21">
        <v>45763</v>
      </c>
      <c r="M3" s="22" t="s">
        <v>25</v>
      </c>
      <c r="N3" s="23">
        <v>0.1</v>
      </c>
      <c r="O3" s="20">
        <f>+SUM([1]Model!$L$46:$O$46)</f>
        <v>21345</v>
      </c>
      <c r="P3" s="20">
        <f>+[1]Model!X$46</f>
        <v>21239</v>
      </c>
      <c r="Q3" s="20">
        <f>+[1]Model!Y$46</f>
        <v>21980.030719999999</v>
      </c>
      <c r="R3" s="20">
        <f>+[1]Model!Z$46</f>
        <v>23839.646246400007</v>
      </c>
      <c r="S3" s="24">
        <f t="shared" ref="S3:V5" si="2">+$J3/O3</f>
        <v>27.324029471279925</v>
      </c>
      <c r="T3" s="24">
        <f t="shared" si="2"/>
        <v>27.460398750622439</v>
      </c>
      <c r="U3" s="24">
        <f t="shared" si="2"/>
        <v>26.53460390907361</v>
      </c>
      <c r="V3" s="24">
        <f t="shared" si="2"/>
        <v>24.464767766952203</v>
      </c>
      <c r="W3" s="20">
        <f>+SUM([1]Model!$L$110:$O$110)</f>
        <v>20397</v>
      </c>
      <c r="X3" s="24">
        <f t="shared" ref="X3" si="3">+$J3/W3</f>
        <v>28.593979951192331</v>
      </c>
      <c r="Y3" s="23">
        <v>0.78</v>
      </c>
      <c r="Z3" s="22">
        <v>1958</v>
      </c>
      <c r="AA3" s="25" t="s">
        <v>26</v>
      </c>
      <c r="AB3" s="26" t="s">
        <v>27</v>
      </c>
    </row>
    <row r="4" spans="1:49" x14ac:dyDescent="0.2">
      <c r="A4" s="27">
        <v>45778</v>
      </c>
      <c r="B4" s="17" t="s">
        <v>28</v>
      </c>
      <c r="C4" s="17" t="s">
        <v>29</v>
      </c>
      <c r="D4" t="s">
        <v>23</v>
      </c>
      <c r="E4" t="s">
        <v>24</v>
      </c>
      <c r="F4" s="20">
        <v>8018</v>
      </c>
      <c r="G4" s="19">
        <v>532.9</v>
      </c>
      <c r="H4" s="20">
        <f>+G4*K4</f>
        <v>485849.46284739993</v>
      </c>
      <c r="I4" s="20">
        <f>+[2]Main!$L$6-[2]Main!$L$7</f>
        <v>-9454</v>
      </c>
      <c r="J4" s="20">
        <f>+H4-I4</f>
        <v>495303.46284739993</v>
      </c>
      <c r="K4" s="20">
        <f>+[2]Main!$L$4</f>
        <v>911.70850599999994</v>
      </c>
      <c r="L4" s="21">
        <v>45763</v>
      </c>
      <c r="M4" s="22" t="s">
        <v>30</v>
      </c>
      <c r="N4" s="23">
        <v>0.12</v>
      </c>
      <c r="O4" s="20">
        <f>+SUM([2]Model!$G$27:$J$27)</f>
        <v>14123</v>
      </c>
      <c r="P4" s="20">
        <f>+[2]Model!U$27</f>
        <v>14123</v>
      </c>
      <c r="Q4" s="20">
        <f>+[2]Model!V$27</f>
        <v>14778.045896</v>
      </c>
      <c r="R4" s="20">
        <f>+[2]Model!W$27</f>
        <v>16146.540728144002</v>
      </c>
      <c r="S4" s="24">
        <f t="shared" si="2"/>
        <v>35.070697645500246</v>
      </c>
      <c r="T4" s="24">
        <f t="shared" si="2"/>
        <v>35.070697645500246</v>
      </c>
      <c r="U4" s="24">
        <f t="shared" si="2"/>
        <v>33.516167586234431</v>
      </c>
      <c r="V4" s="24">
        <f t="shared" si="2"/>
        <v>30.675515652963867</v>
      </c>
      <c r="W4" s="20">
        <f>+SUM([2]Model!$G$40:$J$40)</f>
        <v>14306</v>
      </c>
      <c r="X4" s="24">
        <f>+$J4/W4</f>
        <v>34.622079047071153</v>
      </c>
      <c r="Y4" s="23">
        <v>0.57999999999999996</v>
      </c>
      <c r="Z4" s="22">
        <v>1966</v>
      </c>
      <c r="AA4" s="25" t="s">
        <v>31</v>
      </c>
      <c r="AB4" s="26" t="s">
        <v>32</v>
      </c>
    </row>
    <row r="5" spans="1:49" x14ac:dyDescent="0.2">
      <c r="A5" s="28" t="s">
        <v>33</v>
      </c>
      <c r="B5" s="17" t="s">
        <v>34</v>
      </c>
      <c r="C5" s="17" t="s">
        <v>35</v>
      </c>
      <c r="D5" t="s">
        <v>23</v>
      </c>
      <c r="E5" t="s">
        <v>36</v>
      </c>
      <c r="F5" s="20">
        <v>1765</v>
      </c>
      <c r="G5" s="19">
        <v>251.31</v>
      </c>
      <c r="H5" s="20">
        <f t="shared" ref="H5:H18" si="4">+G5*K5</f>
        <v>176064.9889197</v>
      </c>
      <c r="I5" s="20">
        <f>+[3]Main!$L$6-[3]Main!$L$7</f>
        <v>-1706</v>
      </c>
      <c r="J5" s="20">
        <f t="shared" ref="J5:J18" si="5">+H5-I5</f>
        <v>177770.9889197</v>
      </c>
      <c r="K5" s="20">
        <f>+[3]Main!$L$4</f>
        <v>700.58887000000004</v>
      </c>
      <c r="L5" s="21">
        <v>45766</v>
      </c>
      <c r="M5" s="22" t="s">
        <v>37</v>
      </c>
      <c r="N5" s="23">
        <v>0.1</v>
      </c>
      <c r="O5" s="20">
        <f>+SUM([3]Model!$H$28:$K$28)</f>
        <v>10276</v>
      </c>
      <c r="P5" s="20">
        <f>+[3]Model!W$28</f>
        <v>10129</v>
      </c>
      <c r="Q5" s="20">
        <f>+[3]Model!X$28</f>
        <v>11343.136000000004</v>
      </c>
      <c r="R5" s="20">
        <f>+[3]Model!Y$28</f>
        <v>12667.979840000004</v>
      </c>
      <c r="S5" s="24">
        <f t="shared" si="2"/>
        <v>17.299629128036202</v>
      </c>
      <c r="T5" s="24">
        <f t="shared" si="2"/>
        <v>17.550694927406457</v>
      </c>
      <c r="U5" s="24">
        <f t="shared" si="2"/>
        <v>15.672120030977318</v>
      </c>
      <c r="V5" s="24">
        <f t="shared" si="2"/>
        <v>14.033096923502836</v>
      </c>
      <c r="W5" s="20">
        <f>+SUM([3]Model!$H$85:$K$85)</f>
        <v>11317</v>
      </c>
      <c r="X5" s="24">
        <f t="shared" ref="X5:X18" si="6">+$J5/W5</f>
        <v>15.708313945365379</v>
      </c>
      <c r="Z5" s="22">
        <v>1850</v>
      </c>
      <c r="AA5" s="25" t="s">
        <v>38</v>
      </c>
      <c r="AB5" s="26" t="s">
        <v>39</v>
      </c>
    </row>
    <row r="6" spans="1:49" x14ac:dyDescent="0.2">
      <c r="H6" s="20">
        <f t="shared" si="4"/>
        <v>0</v>
      </c>
      <c r="J6" s="20">
        <f t="shared" si="5"/>
        <v>0</v>
      </c>
      <c r="S6" s="24" t="e">
        <f t="shared" ref="S6:S18" si="7">+$J6/O6</f>
        <v>#DIV/0!</v>
      </c>
      <c r="T6" s="24" t="e">
        <f t="shared" ref="T6:T18" si="8">+$J6/P6</f>
        <v>#DIV/0!</v>
      </c>
      <c r="U6" s="24" t="e">
        <f t="shared" ref="U6:U18" si="9">+$J6/Q6</f>
        <v>#DIV/0!</v>
      </c>
      <c r="V6" s="24" t="e">
        <f t="shared" ref="V6:V18" si="10">+$J6/R6</f>
        <v>#DIV/0!</v>
      </c>
      <c r="X6" s="24" t="e">
        <f t="shared" si="6"/>
        <v>#DIV/0!</v>
      </c>
    </row>
    <row r="7" spans="1:49" x14ac:dyDescent="0.2">
      <c r="H7" s="20">
        <f t="shared" si="4"/>
        <v>0</v>
      </c>
      <c r="J7" s="20">
        <f t="shared" si="5"/>
        <v>0</v>
      </c>
      <c r="S7" s="24" t="e">
        <f t="shared" si="7"/>
        <v>#DIV/0!</v>
      </c>
      <c r="T7" s="24" t="e">
        <f t="shared" si="8"/>
        <v>#DIV/0!</v>
      </c>
      <c r="U7" s="24" t="e">
        <f t="shared" si="9"/>
        <v>#DIV/0!</v>
      </c>
      <c r="V7" s="24" t="e">
        <f t="shared" si="10"/>
        <v>#DIV/0!</v>
      </c>
      <c r="X7" s="24" t="e">
        <f t="shared" si="6"/>
        <v>#DIV/0!</v>
      </c>
    </row>
    <row r="8" spans="1:49" x14ac:dyDescent="0.2">
      <c r="H8" s="20">
        <f t="shared" si="4"/>
        <v>0</v>
      </c>
      <c r="J8" s="20">
        <f t="shared" si="5"/>
        <v>0</v>
      </c>
      <c r="S8" s="24" t="e">
        <f t="shared" si="7"/>
        <v>#DIV/0!</v>
      </c>
      <c r="T8" s="24" t="e">
        <f t="shared" si="8"/>
        <v>#DIV/0!</v>
      </c>
      <c r="U8" s="24" t="e">
        <f t="shared" si="9"/>
        <v>#DIV/0!</v>
      </c>
      <c r="V8" s="24" t="e">
        <f t="shared" si="10"/>
        <v>#DIV/0!</v>
      </c>
      <c r="X8" s="24" t="e">
        <f t="shared" si="6"/>
        <v>#DIV/0!</v>
      </c>
    </row>
    <row r="9" spans="1:49" x14ac:dyDescent="0.2">
      <c r="H9" s="20">
        <f t="shared" si="4"/>
        <v>0</v>
      </c>
      <c r="J9" s="20">
        <f t="shared" si="5"/>
        <v>0</v>
      </c>
      <c r="S9" s="24" t="e">
        <f t="shared" si="7"/>
        <v>#DIV/0!</v>
      </c>
      <c r="T9" s="24" t="e">
        <f t="shared" si="8"/>
        <v>#DIV/0!</v>
      </c>
      <c r="U9" s="24" t="e">
        <f t="shared" si="9"/>
        <v>#DIV/0!</v>
      </c>
      <c r="V9" s="24" t="e">
        <f t="shared" si="10"/>
        <v>#DIV/0!</v>
      </c>
      <c r="X9" s="24" t="e">
        <f t="shared" si="6"/>
        <v>#DIV/0!</v>
      </c>
    </row>
    <row r="10" spans="1:49" x14ac:dyDescent="0.2">
      <c r="H10" s="20">
        <f t="shared" si="4"/>
        <v>0</v>
      </c>
      <c r="J10" s="20">
        <f t="shared" si="5"/>
        <v>0</v>
      </c>
      <c r="S10" s="24" t="e">
        <f t="shared" si="7"/>
        <v>#DIV/0!</v>
      </c>
      <c r="T10" s="24" t="e">
        <f t="shared" si="8"/>
        <v>#DIV/0!</v>
      </c>
      <c r="U10" s="24" t="e">
        <f t="shared" si="9"/>
        <v>#DIV/0!</v>
      </c>
      <c r="V10" s="24" t="e">
        <f t="shared" si="10"/>
        <v>#DIV/0!</v>
      </c>
      <c r="X10" s="24" t="e">
        <f t="shared" si="6"/>
        <v>#DIV/0!</v>
      </c>
    </row>
    <row r="11" spans="1:49" x14ac:dyDescent="0.2">
      <c r="H11" s="20">
        <f t="shared" si="4"/>
        <v>0</v>
      </c>
      <c r="J11" s="20">
        <f t="shared" si="5"/>
        <v>0</v>
      </c>
      <c r="S11" s="24" t="e">
        <f t="shared" si="7"/>
        <v>#DIV/0!</v>
      </c>
      <c r="T11" s="24" t="e">
        <f t="shared" si="8"/>
        <v>#DIV/0!</v>
      </c>
      <c r="U11" s="24" t="e">
        <f t="shared" si="9"/>
        <v>#DIV/0!</v>
      </c>
      <c r="V11" s="24" t="e">
        <f t="shared" si="10"/>
        <v>#DIV/0!</v>
      </c>
      <c r="X11" s="24" t="e">
        <f t="shared" si="6"/>
        <v>#DIV/0!</v>
      </c>
    </row>
    <row r="12" spans="1:49" x14ac:dyDescent="0.2">
      <c r="H12" s="20">
        <f t="shared" si="4"/>
        <v>0</v>
      </c>
      <c r="J12" s="20">
        <f t="shared" si="5"/>
        <v>0</v>
      </c>
      <c r="S12" s="24" t="e">
        <f t="shared" si="7"/>
        <v>#DIV/0!</v>
      </c>
      <c r="T12" s="24" t="e">
        <f t="shared" si="8"/>
        <v>#DIV/0!</v>
      </c>
      <c r="U12" s="24" t="e">
        <f t="shared" si="9"/>
        <v>#DIV/0!</v>
      </c>
      <c r="V12" s="24" t="e">
        <f t="shared" si="10"/>
        <v>#DIV/0!</v>
      </c>
      <c r="X12" s="24" t="e">
        <f t="shared" si="6"/>
        <v>#DIV/0!</v>
      </c>
    </row>
    <row r="13" spans="1:49" x14ac:dyDescent="0.2">
      <c r="H13" s="20">
        <f t="shared" si="4"/>
        <v>0</v>
      </c>
      <c r="J13" s="20">
        <f t="shared" si="5"/>
        <v>0</v>
      </c>
      <c r="S13" s="24" t="e">
        <f t="shared" si="7"/>
        <v>#DIV/0!</v>
      </c>
      <c r="T13" s="24" t="e">
        <f t="shared" si="8"/>
        <v>#DIV/0!</v>
      </c>
      <c r="U13" s="24" t="e">
        <f t="shared" si="9"/>
        <v>#DIV/0!</v>
      </c>
      <c r="V13" s="24" t="e">
        <f t="shared" si="10"/>
        <v>#DIV/0!</v>
      </c>
      <c r="X13" s="24" t="e">
        <f t="shared" si="6"/>
        <v>#DIV/0!</v>
      </c>
    </row>
    <row r="14" spans="1:49" x14ac:dyDescent="0.2">
      <c r="H14" s="20">
        <f t="shared" si="4"/>
        <v>0</v>
      </c>
      <c r="J14" s="20">
        <f t="shared" si="5"/>
        <v>0</v>
      </c>
      <c r="S14" s="24" t="e">
        <f t="shared" si="7"/>
        <v>#DIV/0!</v>
      </c>
      <c r="T14" s="24" t="e">
        <f t="shared" si="8"/>
        <v>#DIV/0!</v>
      </c>
      <c r="U14" s="24" t="e">
        <f t="shared" si="9"/>
        <v>#DIV/0!</v>
      </c>
      <c r="V14" s="24" t="e">
        <f t="shared" si="10"/>
        <v>#DIV/0!</v>
      </c>
      <c r="X14" s="24" t="e">
        <f t="shared" si="6"/>
        <v>#DIV/0!</v>
      </c>
    </row>
    <row r="15" spans="1:49" x14ac:dyDescent="0.2">
      <c r="H15" s="20">
        <f t="shared" si="4"/>
        <v>0</v>
      </c>
      <c r="J15" s="20">
        <f t="shared" si="5"/>
        <v>0</v>
      </c>
      <c r="S15" s="24" t="e">
        <f t="shared" si="7"/>
        <v>#DIV/0!</v>
      </c>
      <c r="T15" s="24" t="e">
        <f t="shared" si="8"/>
        <v>#DIV/0!</v>
      </c>
      <c r="U15" s="24" t="e">
        <f t="shared" si="9"/>
        <v>#DIV/0!</v>
      </c>
      <c r="V15" s="24" t="e">
        <f t="shared" si="10"/>
        <v>#DIV/0!</v>
      </c>
      <c r="X15" s="24" t="e">
        <f t="shared" si="6"/>
        <v>#DIV/0!</v>
      </c>
    </row>
    <row r="16" spans="1:49" x14ac:dyDescent="0.2">
      <c r="H16" s="20">
        <f t="shared" si="4"/>
        <v>0</v>
      </c>
      <c r="J16" s="20">
        <f t="shared" si="5"/>
        <v>0</v>
      </c>
      <c r="S16" s="24" t="e">
        <f t="shared" si="7"/>
        <v>#DIV/0!</v>
      </c>
      <c r="T16" s="24" t="e">
        <f t="shared" si="8"/>
        <v>#DIV/0!</v>
      </c>
      <c r="U16" s="24" t="e">
        <f t="shared" si="9"/>
        <v>#DIV/0!</v>
      </c>
      <c r="V16" s="24" t="e">
        <f t="shared" si="10"/>
        <v>#DIV/0!</v>
      </c>
      <c r="X16" s="24" t="e">
        <f t="shared" si="6"/>
        <v>#DIV/0!</v>
      </c>
    </row>
    <row r="17" spans="1:28" x14ac:dyDescent="0.2">
      <c r="H17" s="20">
        <f t="shared" si="4"/>
        <v>0</v>
      </c>
      <c r="J17" s="20">
        <f t="shared" si="5"/>
        <v>0</v>
      </c>
      <c r="S17" s="24" t="e">
        <f t="shared" si="7"/>
        <v>#DIV/0!</v>
      </c>
      <c r="T17" s="24" t="e">
        <f t="shared" si="8"/>
        <v>#DIV/0!</v>
      </c>
      <c r="U17" s="24" t="e">
        <f t="shared" si="9"/>
        <v>#DIV/0!</v>
      </c>
      <c r="V17" s="24" t="e">
        <f t="shared" si="10"/>
        <v>#DIV/0!</v>
      </c>
      <c r="X17" s="24" t="e">
        <f t="shared" si="6"/>
        <v>#DIV/0!</v>
      </c>
    </row>
    <row r="18" spans="1:28" x14ac:dyDescent="0.2">
      <c r="A18" s="33" t="s">
        <v>33</v>
      </c>
      <c r="B18" s="17" t="s">
        <v>43</v>
      </c>
      <c r="C18" t="s">
        <v>44</v>
      </c>
      <c r="D18" t="s">
        <v>23</v>
      </c>
      <c r="E18" t="s">
        <v>36</v>
      </c>
      <c r="F18" s="20">
        <v>1681.1510000000001</v>
      </c>
      <c r="G18" s="22">
        <v>66.27</v>
      </c>
      <c r="H18" s="20">
        <f t="shared" si="4"/>
        <v>66203.73</v>
      </c>
      <c r="I18" s="20">
        <f>+[4]Main!$K$5-[4]Main!$K$6</f>
        <v>4407</v>
      </c>
      <c r="J18" s="20">
        <f t="shared" si="5"/>
        <v>61796.729999999996</v>
      </c>
      <c r="K18" s="20">
        <f>+[4]Main!$K$3</f>
        <v>999</v>
      </c>
      <c r="L18" s="21">
        <v>45776</v>
      </c>
      <c r="M18" s="22" t="s">
        <v>25</v>
      </c>
      <c r="N18" s="23">
        <v>7.0000000000000007E-2</v>
      </c>
      <c r="O18" s="20">
        <f>+SUM([4]Model!$O$26:$R$26)</f>
        <v>4838</v>
      </c>
      <c r="P18" s="20">
        <f>+[4]Model!AB$26</f>
        <v>4585</v>
      </c>
      <c r="Q18" s="20">
        <f>+[4]Model!AC$26</f>
        <v>5008.9716300000018</v>
      </c>
      <c r="R18" s="20">
        <f>+[4]Model!AD$26</f>
        <v>5598.2265096419997</v>
      </c>
      <c r="S18" s="24">
        <f t="shared" si="7"/>
        <v>12.773197602315005</v>
      </c>
      <c r="T18" s="24">
        <f t="shared" si="8"/>
        <v>13.478021810250818</v>
      </c>
      <c r="U18" s="24">
        <f t="shared" si="9"/>
        <v>12.337209025078861</v>
      </c>
      <c r="V18" s="24">
        <f t="shared" si="10"/>
        <v>11.038626231640604</v>
      </c>
      <c r="W18" s="20">
        <f>+SUM([4]Model!$O$94:$R$94)</f>
        <v>5971</v>
      </c>
      <c r="X18" s="24">
        <f t="shared" si="6"/>
        <v>10.349477474459889</v>
      </c>
      <c r="Z18" s="22">
        <v>1998</v>
      </c>
      <c r="AA18" s="25" t="s">
        <v>46</v>
      </c>
      <c r="AB18" s="26" t="s">
        <v>45</v>
      </c>
    </row>
    <row r="19" spans="1:28" x14ac:dyDescent="0.2">
      <c r="B19" t="s">
        <v>49</v>
      </c>
      <c r="D19" t="s">
        <v>23</v>
      </c>
      <c r="E19" t="s">
        <v>24</v>
      </c>
    </row>
    <row r="21" spans="1:28" x14ac:dyDescent="0.2">
      <c r="B21" t="s">
        <v>48</v>
      </c>
      <c r="D21" t="s">
        <v>23</v>
      </c>
      <c r="E21" t="s">
        <v>24</v>
      </c>
      <c r="F21" s="20">
        <v>1400</v>
      </c>
      <c r="N21" s="23">
        <v>0.38</v>
      </c>
    </row>
  </sheetData>
  <hyperlinks>
    <hyperlink ref="A1" location="Main!A1" display="Main" xr:uid="{A4B4BB89-FBAF-4A6A-8C98-1AE488224FB3}"/>
    <hyperlink ref="C3" r:id="rId1" xr:uid="{FB7D7804-759D-4A8A-8F36-0A0D7EBCDDA8}"/>
    <hyperlink ref="B3" r:id="rId2" xr:uid="{BEBE2EA7-DBEE-4A5A-BD1A-9D804D8564E7}"/>
    <hyperlink ref="AB3" r:id="rId3" xr:uid="{988EEC5C-BEB6-4FC3-9A90-0A76DFAB8F4C}"/>
    <hyperlink ref="C4" r:id="rId4" xr:uid="{83815489-EA72-4393-B002-E036C7FC2AAD}"/>
    <hyperlink ref="B4" r:id="rId5" xr:uid="{54EEFDE9-5EA3-4B42-AE29-DDC614BAC2DB}"/>
    <hyperlink ref="AB4" r:id="rId6" xr:uid="{8586FBC6-19EE-48E6-86BD-E1595BB65FF0}"/>
    <hyperlink ref="C5" r:id="rId7" xr:uid="{24B8176B-617E-4ACB-9026-C9FA6F6C1D68}"/>
    <hyperlink ref="AB5" r:id="rId8" xr:uid="{0D2CFCFA-434C-41F7-8D63-6A7812569C07}"/>
    <hyperlink ref="B5" r:id="rId9" xr:uid="{06BE4822-5831-47BF-B63B-A9405F0079FD}"/>
    <hyperlink ref="AB18" r:id="rId10" xr:uid="{28CB398A-C82E-40D6-9901-BCACC30B54D4}"/>
    <hyperlink ref="B18" r:id="rId11" xr:uid="{C406C7E8-CE8D-4D81-9C37-417BA44625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3119-393F-4706-A899-A13AFB7D3A1E}">
  <dimension ref="A1:AV2"/>
  <sheetViews>
    <sheetView workbookViewId="0"/>
  </sheetViews>
  <sheetFormatPr defaultRowHeight="12.75" x14ac:dyDescent="0.2"/>
  <cols>
    <col min="1" max="1" width="5" bestFit="1" customWidth="1"/>
  </cols>
  <sheetData>
    <row r="1" spans="1:48" x14ac:dyDescent="0.2">
      <c r="A1" s="17" t="s">
        <v>20</v>
      </c>
    </row>
    <row r="2" spans="1:48" s="14" customFormat="1" ht="12.95" customHeight="1" x14ac:dyDescent="0.2">
      <c r="A2" s="1"/>
      <c r="B2" s="2" t="s">
        <v>0</v>
      </c>
      <c r="C2" s="3" t="s">
        <v>1</v>
      </c>
      <c r="D2" s="3" t="s">
        <v>2</v>
      </c>
      <c r="E2" s="2" t="s">
        <v>3</v>
      </c>
      <c r="F2" s="4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6" t="s">
        <v>9</v>
      </c>
      <c r="L2" s="7" t="s">
        <v>10</v>
      </c>
      <c r="M2" s="8" t="s">
        <v>11</v>
      </c>
      <c r="N2" s="5" t="s">
        <v>12</v>
      </c>
      <c r="O2" s="9">
        <v>2024</v>
      </c>
      <c r="P2" s="9">
        <v>2025</v>
      </c>
      <c r="Q2" s="9">
        <v>2026</v>
      </c>
      <c r="R2" s="10" t="s">
        <v>13</v>
      </c>
      <c r="S2" s="10">
        <v>2024</v>
      </c>
      <c r="T2" s="10">
        <v>2025</v>
      </c>
      <c r="U2" s="10">
        <v>2026</v>
      </c>
      <c r="V2" s="5" t="s">
        <v>14</v>
      </c>
      <c r="W2" s="10" t="s">
        <v>15</v>
      </c>
      <c r="X2" s="8" t="s">
        <v>16</v>
      </c>
      <c r="Y2" s="11" t="s">
        <v>17</v>
      </c>
      <c r="Z2" s="8" t="s">
        <v>18</v>
      </c>
      <c r="AA2" s="2" t="s">
        <v>19</v>
      </c>
      <c r="AB2" s="12"/>
      <c r="AC2" s="13"/>
      <c r="AI2" s="15"/>
      <c r="AJ2" s="15"/>
      <c r="AK2" s="13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</row>
  </sheetData>
  <hyperlinks>
    <hyperlink ref="A1" location="Main!A1" display="Main" xr:uid="{7940D113-458E-4117-A768-A9869024099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03E84-E7FD-4B92-A278-A8C2BF9D3BB3}">
  <dimension ref="A1:AV4"/>
  <sheetViews>
    <sheetView workbookViewId="0">
      <selection activeCell="A5" sqref="A5:XFD5"/>
    </sheetView>
  </sheetViews>
  <sheetFormatPr defaultRowHeight="12.75" x14ac:dyDescent="0.2"/>
  <cols>
    <col min="1" max="1" width="6.140625" bestFit="1" customWidth="1"/>
    <col min="3" max="3" width="13.140625" customWidth="1"/>
    <col min="4" max="4" width="9.42578125" bestFit="1" customWidth="1"/>
    <col min="5" max="5" width="35.140625" bestFit="1" customWidth="1"/>
  </cols>
  <sheetData>
    <row r="1" spans="1:48" x14ac:dyDescent="0.2">
      <c r="A1" s="17" t="s">
        <v>20</v>
      </c>
    </row>
    <row r="2" spans="1:48" s="14" customFormat="1" ht="12.95" customHeight="1" x14ac:dyDescent="0.2">
      <c r="A2" s="1"/>
      <c r="B2" s="2" t="s">
        <v>0</v>
      </c>
      <c r="C2" s="3" t="s">
        <v>1</v>
      </c>
      <c r="D2" s="3" t="s">
        <v>2</v>
      </c>
      <c r="E2" s="2" t="s">
        <v>3</v>
      </c>
      <c r="F2" s="4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6" t="s">
        <v>9</v>
      </c>
      <c r="L2" s="7" t="s">
        <v>10</v>
      </c>
      <c r="M2" s="8" t="s">
        <v>11</v>
      </c>
      <c r="N2" s="5" t="s">
        <v>12</v>
      </c>
      <c r="O2" s="9">
        <v>2024</v>
      </c>
      <c r="P2" s="9">
        <v>2025</v>
      </c>
      <c r="Q2" s="9">
        <v>2026</v>
      </c>
      <c r="R2" s="10" t="s">
        <v>13</v>
      </c>
      <c r="S2" s="10">
        <v>2024</v>
      </c>
      <c r="T2" s="10">
        <v>2025</v>
      </c>
      <c r="U2" s="10">
        <v>2026</v>
      </c>
      <c r="V2" s="5" t="s">
        <v>14</v>
      </c>
      <c r="W2" s="10" t="s">
        <v>15</v>
      </c>
      <c r="X2" s="8" t="s">
        <v>16</v>
      </c>
      <c r="Y2" s="11" t="s">
        <v>17</v>
      </c>
      <c r="Z2" s="8" t="s">
        <v>18</v>
      </c>
      <c r="AA2" s="2" t="s">
        <v>19</v>
      </c>
      <c r="AB2" s="12"/>
      <c r="AC2" s="13" t="s">
        <v>40</v>
      </c>
      <c r="AI2" s="15"/>
      <c r="AJ2" s="15"/>
      <c r="AK2" s="13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</row>
    <row r="3" spans="1:48" x14ac:dyDescent="0.2">
      <c r="A3" s="18">
        <v>45776</v>
      </c>
      <c r="B3" s="17" t="s">
        <v>21</v>
      </c>
      <c r="C3" s="17" t="s">
        <v>22</v>
      </c>
      <c r="D3" t="s">
        <v>23</v>
      </c>
      <c r="E3" t="s">
        <v>24</v>
      </c>
      <c r="F3" s="19">
        <v>335.81</v>
      </c>
      <c r="G3" s="20">
        <f>+F3*J3</f>
        <v>581825.40906446998</v>
      </c>
      <c r="H3" s="20">
        <f>+[1]Main!$L$6-[1]Main!$L$7</f>
        <v>-1406</v>
      </c>
      <c r="I3" s="20">
        <f>+G3-H3</f>
        <v>583231.40906446998</v>
      </c>
      <c r="J3" s="20">
        <f>+[1]Main!$L$4</f>
        <v>1732.602987</v>
      </c>
      <c r="K3" s="21">
        <v>45763</v>
      </c>
      <c r="L3" s="22" t="s">
        <v>25</v>
      </c>
      <c r="M3" s="23">
        <v>0.1</v>
      </c>
      <c r="N3" s="20">
        <f>+SUM([1]Model!$L$46:$O$46)</f>
        <v>21345</v>
      </c>
      <c r="O3" s="20">
        <f>+[1]Model!X$46</f>
        <v>21239</v>
      </c>
      <c r="P3" s="20">
        <f>+[1]Model!Y$46</f>
        <v>21980.030719999999</v>
      </c>
      <c r="Q3" s="20">
        <f>+[1]Model!Z$46</f>
        <v>23839.646246400007</v>
      </c>
      <c r="R3" s="24">
        <f t="shared" ref="R3:U4" si="0">+$I3/N3</f>
        <v>27.324029471279925</v>
      </c>
      <c r="S3" s="24">
        <f t="shared" si="0"/>
        <v>27.460398750622439</v>
      </c>
      <c r="T3" s="24">
        <f t="shared" si="0"/>
        <v>26.53460390907361</v>
      </c>
      <c r="U3" s="24">
        <f t="shared" si="0"/>
        <v>24.464767766952203</v>
      </c>
      <c r="V3" s="20">
        <f>+SUM([1]Model!$L$110:$O$110)</f>
        <v>20397</v>
      </c>
      <c r="W3" s="24">
        <f>+$I3/V3</f>
        <v>28.593979951192331</v>
      </c>
      <c r="X3" s="23">
        <v>0.78</v>
      </c>
      <c r="Y3" s="22">
        <v>1958</v>
      </c>
      <c r="Z3" s="25" t="s">
        <v>26</v>
      </c>
      <c r="AA3" s="26" t="s">
        <v>27</v>
      </c>
    </row>
    <row r="4" spans="1:48" x14ac:dyDescent="0.2">
      <c r="A4" s="27">
        <v>45778</v>
      </c>
      <c r="B4" s="17" t="s">
        <v>28</v>
      </c>
      <c r="C4" s="17" t="s">
        <v>29</v>
      </c>
      <c r="D4" t="s">
        <v>23</v>
      </c>
      <c r="E4" t="s">
        <v>24</v>
      </c>
      <c r="F4" s="19">
        <v>532.9</v>
      </c>
      <c r="G4" s="20">
        <f>+F4*J4</f>
        <v>485849.46284739993</v>
      </c>
      <c r="H4" s="20">
        <f>+[2]Main!$L$6-[2]Main!$L$7</f>
        <v>-9454</v>
      </c>
      <c r="I4" s="20">
        <f>+G4-H4</f>
        <v>495303.46284739993</v>
      </c>
      <c r="J4" s="20">
        <f>+[2]Main!$L$4</f>
        <v>911.70850599999994</v>
      </c>
      <c r="K4" s="21">
        <v>45763</v>
      </c>
      <c r="L4" s="22" t="s">
        <v>30</v>
      </c>
      <c r="M4" s="23">
        <v>0.12</v>
      </c>
      <c r="N4" s="20">
        <f>+SUM([2]Model!$G$27:$J$27)</f>
        <v>14123</v>
      </c>
      <c r="O4" s="20">
        <f>+[2]Model!U$27</f>
        <v>14123</v>
      </c>
      <c r="P4" s="20">
        <f>+[2]Model!V$27</f>
        <v>14778.045896</v>
      </c>
      <c r="Q4" s="20">
        <f>+[2]Model!W$27</f>
        <v>16146.540728144002</v>
      </c>
      <c r="R4" s="24">
        <f t="shared" si="0"/>
        <v>35.070697645500246</v>
      </c>
      <c r="S4" s="24">
        <f t="shared" si="0"/>
        <v>35.070697645500246</v>
      </c>
      <c r="T4" s="24">
        <f t="shared" si="0"/>
        <v>33.516167586234431</v>
      </c>
      <c r="U4" s="24">
        <f t="shared" si="0"/>
        <v>30.675515652963867</v>
      </c>
      <c r="V4" s="20">
        <f>+SUM([2]Model!$G$40:$J$40)</f>
        <v>14306</v>
      </c>
      <c r="W4" s="24">
        <f>+$I4/V4</f>
        <v>34.622079047071153</v>
      </c>
      <c r="X4" s="23">
        <v>0.57999999999999996</v>
      </c>
      <c r="Y4" s="22">
        <v>1966</v>
      </c>
      <c r="Z4" s="25" t="s">
        <v>31</v>
      </c>
      <c r="AA4" s="26" t="s">
        <v>32</v>
      </c>
    </row>
  </sheetData>
  <hyperlinks>
    <hyperlink ref="A1" location="Main!A1" display="Main" xr:uid="{BC7C73C4-4D4D-4500-9729-906BD7301CB2}"/>
    <hyperlink ref="C3" r:id="rId1" xr:uid="{FD68768A-D003-458F-B4F3-7E78797E3CF1}"/>
    <hyperlink ref="B3" r:id="rId2" xr:uid="{8988274C-3DDB-4320-8D43-0139D2088B8C}"/>
    <hyperlink ref="AA3" r:id="rId3" xr:uid="{6DF2E622-3806-45A2-B424-38BD1898D71D}"/>
    <hyperlink ref="C4" r:id="rId4" xr:uid="{B39DD629-92EF-4E32-8336-1D81001DF282}"/>
    <hyperlink ref="B4" r:id="rId5" xr:uid="{B4B582B7-F0D8-4EC9-895D-8C25FE3D6D39}"/>
    <hyperlink ref="AA4" r:id="rId6" xr:uid="{92EA5553-03CB-47DB-B25A-D2697C60DD9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C15C-4F77-4591-A142-2A1A421E0EE9}">
  <dimension ref="A1:AV2"/>
  <sheetViews>
    <sheetView workbookViewId="0"/>
  </sheetViews>
  <sheetFormatPr defaultRowHeight="12.75" x14ac:dyDescent="0.2"/>
  <cols>
    <col min="1" max="1" width="5" bestFit="1" customWidth="1"/>
  </cols>
  <sheetData>
    <row r="1" spans="1:48" x14ac:dyDescent="0.2">
      <c r="A1" s="17" t="s">
        <v>20</v>
      </c>
    </row>
    <row r="2" spans="1:48" s="14" customFormat="1" ht="12.95" customHeight="1" x14ac:dyDescent="0.2">
      <c r="A2" s="1"/>
      <c r="B2" s="2" t="s">
        <v>0</v>
      </c>
      <c r="C2" s="3" t="s">
        <v>1</v>
      </c>
      <c r="D2" s="3" t="s">
        <v>2</v>
      </c>
      <c r="E2" s="2" t="s">
        <v>3</v>
      </c>
      <c r="F2" s="4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6" t="s">
        <v>9</v>
      </c>
      <c r="L2" s="7" t="s">
        <v>10</v>
      </c>
      <c r="M2" s="8" t="s">
        <v>11</v>
      </c>
      <c r="N2" s="5" t="s">
        <v>12</v>
      </c>
      <c r="O2" s="9">
        <v>2024</v>
      </c>
      <c r="P2" s="9">
        <v>2025</v>
      </c>
      <c r="Q2" s="9">
        <v>2026</v>
      </c>
      <c r="R2" s="10" t="s">
        <v>13</v>
      </c>
      <c r="S2" s="10">
        <v>2024</v>
      </c>
      <c r="T2" s="10">
        <v>2025</v>
      </c>
      <c r="U2" s="10">
        <v>2026</v>
      </c>
      <c r="V2" s="5" t="s">
        <v>14</v>
      </c>
      <c r="W2" s="10" t="s">
        <v>15</v>
      </c>
      <c r="X2" s="8" t="s">
        <v>16</v>
      </c>
      <c r="Y2" s="11" t="s">
        <v>17</v>
      </c>
      <c r="Z2" s="8" t="s">
        <v>18</v>
      </c>
      <c r="AA2" s="2" t="s">
        <v>19</v>
      </c>
      <c r="AB2" s="12"/>
      <c r="AC2" s="13"/>
      <c r="AI2" s="15"/>
      <c r="AJ2" s="15"/>
      <c r="AK2" s="13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</row>
  </sheetData>
  <hyperlinks>
    <hyperlink ref="A1" location="Main!A1" display="Main" xr:uid="{028E0F56-2E82-4FAF-9D65-25E861B0DF2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777EE-AED9-4AB3-B108-33FFC5D4AA73}">
  <dimension ref="A1:AV3"/>
  <sheetViews>
    <sheetView workbookViewId="0">
      <selection activeCell="H22" sqref="H22"/>
    </sheetView>
  </sheetViews>
  <sheetFormatPr defaultRowHeight="12.75" x14ac:dyDescent="0.2"/>
  <cols>
    <col min="1" max="1" width="5" bestFit="1" customWidth="1"/>
    <col min="3" max="3" width="12.7109375" customWidth="1"/>
    <col min="5" max="5" width="16.7109375" bestFit="1" customWidth="1"/>
  </cols>
  <sheetData>
    <row r="1" spans="1:48" x14ac:dyDescent="0.2">
      <c r="A1" s="17" t="s">
        <v>20</v>
      </c>
    </row>
    <row r="2" spans="1:48" s="14" customFormat="1" ht="12.95" customHeight="1" x14ac:dyDescent="0.2">
      <c r="A2" s="1"/>
      <c r="B2" s="2" t="s">
        <v>0</v>
      </c>
      <c r="C2" s="3" t="s">
        <v>1</v>
      </c>
      <c r="D2" s="3" t="s">
        <v>2</v>
      </c>
      <c r="E2" s="2" t="s">
        <v>3</v>
      </c>
      <c r="F2" s="4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6" t="s">
        <v>9</v>
      </c>
      <c r="L2" s="7" t="s">
        <v>10</v>
      </c>
      <c r="M2" s="8" t="s">
        <v>11</v>
      </c>
      <c r="N2" s="5" t="s">
        <v>12</v>
      </c>
      <c r="O2" s="9">
        <v>2024</v>
      </c>
      <c r="P2" s="9">
        <v>2025</v>
      </c>
      <c r="Q2" s="9">
        <v>2026</v>
      </c>
      <c r="R2" s="10" t="s">
        <v>13</v>
      </c>
      <c r="S2" s="10">
        <v>2024</v>
      </c>
      <c r="T2" s="10">
        <v>2025</v>
      </c>
      <c r="U2" s="10">
        <v>2026</v>
      </c>
      <c r="V2" s="5" t="s">
        <v>14</v>
      </c>
      <c r="W2" s="10" t="s">
        <v>15</v>
      </c>
      <c r="X2" s="8" t="s">
        <v>16</v>
      </c>
      <c r="Y2" s="11" t="s">
        <v>17</v>
      </c>
      <c r="Z2" s="8" t="s">
        <v>18</v>
      </c>
      <c r="AA2" s="2" t="s">
        <v>19</v>
      </c>
      <c r="AB2" s="12"/>
      <c r="AC2" s="13"/>
      <c r="AI2" s="15"/>
      <c r="AJ2" s="15"/>
      <c r="AK2" s="13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</row>
    <row r="3" spans="1:48" x14ac:dyDescent="0.2">
      <c r="A3" s="28" t="s">
        <v>33</v>
      </c>
      <c r="B3" s="17" t="s">
        <v>34</v>
      </c>
      <c r="C3" s="17" t="s">
        <v>35</v>
      </c>
      <c r="D3" t="s">
        <v>23</v>
      </c>
      <c r="E3" t="s">
        <v>36</v>
      </c>
      <c r="F3" s="19">
        <v>251.31</v>
      </c>
      <c r="G3" s="20">
        <f>+F3*J3</f>
        <v>176064.9889197</v>
      </c>
      <c r="H3" s="20">
        <f>+[3]Main!$L$6-[3]Main!$L$7</f>
        <v>-1706</v>
      </c>
      <c r="I3" s="20">
        <f>+G3-H3</f>
        <v>177770.9889197</v>
      </c>
      <c r="J3" s="20">
        <f>+[3]Main!$L$4</f>
        <v>700.58887000000004</v>
      </c>
      <c r="K3" s="21">
        <v>45766</v>
      </c>
      <c r="L3" s="22" t="s">
        <v>37</v>
      </c>
      <c r="M3" s="23">
        <v>0.1</v>
      </c>
      <c r="N3" s="20">
        <f>+SUM([3]Model!$H$28:$K$28)</f>
        <v>10276</v>
      </c>
      <c r="O3" s="20">
        <f>+[3]Model!W$28</f>
        <v>10129</v>
      </c>
      <c r="P3" s="20">
        <f>+[3]Model!X$28</f>
        <v>11343.136000000004</v>
      </c>
      <c r="Q3" s="20">
        <f>+[3]Model!Y$28</f>
        <v>12667.979840000004</v>
      </c>
      <c r="R3" s="24">
        <f>+$I3/N3</f>
        <v>17.299629128036202</v>
      </c>
      <c r="S3" s="24">
        <f>+$I3/O3</f>
        <v>17.550694927406457</v>
      </c>
      <c r="T3" s="24">
        <f>+$I3/P3</f>
        <v>15.672120030977318</v>
      </c>
      <c r="U3" s="24">
        <f>+$I3/Q3</f>
        <v>14.033096923502836</v>
      </c>
      <c r="V3" s="20">
        <f>+SUM([3]Model!$H$85:$K$85)</f>
        <v>11317</v>
      </c>
      <c r="W3" s="24">
        <f>+$I3/V3</f>
        <v>15.708313945365379</v>
      </c>
      <c r="X3" s="23"/>
      <c r="Y3" s="22">
        <v>1850</v>
      </c>
      <c r="Z3" s="25" t="s">
        <v>38</v>
      </c>
      <c r="AA3" s="26" t="s">
        <v>39</v>
      </c>
    </row>
  </sheetData>
  <hyperlinks>
    <hyperlink ref="A1" location="Main!A1" display="Main" xr:uid="{21B52241-EE31-4796-99F2-2211EE7ED6CC}"/>
    <hyperlink ref="C3" r:id="rId1" xr:uid="{B128EC7B-6A0D-4911-8A71-D24B9DF7B832}"/>
    <hyperlink ref="AA3" r:id="rId2" xr:uid="{4558A4EA-FEBA-48B6-84B3-D2342E8AC2CF}"/>
    <hyperlink ref="B3" r:id="rId3" xr:uid="{818C2976-D9FE-416D-817F-7309AC63E7A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D7DC-33E1-4174-A78D-52BAF0E2CF9C}">
  <dimension ref="A1:AV2"/>
  <sheetViews>
    <sheetView workbookViewId="0"/>
  </sheetViews>
  <sheetFormatPr defaultRowHeight="12.75" x14ac:dyDescent="0.2"/>
  <cols>
    <col min="1" max="1" width="5" bestFit="1" customWidth="1"/>
  </cols>
  <sheetData>
    <row r="1" spans="1:48" x14ac:dyDescent="0.2">
      <c r="A1" s="17" t="s">
        <v>20</v>
      </c>
    </row>
    <row r="2" spans="1:48" s="14" customFormat="1" ht="12.95" customHeight="1" x14ac:dyDescent="0.2">
      <c r="A2" s="1"/>
      <c r="B2" s="2" t="s">
        <v>0</v>
      </c>
      <c r="C2" s="3" t="s">
        <v>1</v>
      </c>
      <c r="D2" s="3" t="s">
        <v>2</v>
      </c>
      <c r="E2" s="2" t="s">
        <v>3</v>
      </c>
      <c r="F2" s="4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6" t="s">
        <v>9</v>
      </c>
      <c r="L2" s="7" t="s">
        <v>10</v>
      </c>
      <c r="M2" s="8" t="s">
        <v>11</v>
      </c>
      <c r="N2" s="5" t="s">
        <v>12</v>
      </c>
      <c r="O2" s="9">
        <v>2024</v>
      </c>
      <c r="P2" s="9">
        <v>2025</v>
      </c>
      <c r="Q2" s="9">
        <v>2026</v>
      </c>
      <c r="R2" s="10" t="s">
        <v>13</v>
      </c>
      <c r="S2" s="10">
        <v>2024</v>
      </c>
      <c r="T2" s="10">
        <v>2025</v>
      </c>
      <c r="U2" s="10">
        <v>2026</v>
      </c>
      <c r="V2" s="5" t="s">
        <v>14</v>
      </c>
      <c r="W2" s="10" t="s">
        <v>15</v>
      </c>
      <c r="X2" s="8" t="s">
        <v>16</v>
      </c>
      <c r="Y2" s="11" t="s">
        <v>17</v>
      </c>
      <c r="Z2" s="8" t="s">
        <v>18</v>
      </c>
      <c r="AA2" s="2" t="s">
        <v>19</v>
      </c>
      <c r="AB2" s="12"/>
      <c r="AC2" s="13"/>
      <c r="AI2" s="15"/>
      <c r="AJ2" s="15"/>
      <c r="AK2" s="13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</row>
  </sheetData>
  <hyperlinks>
    <hyperlink ref="A1" location="Main!A1" display="Main" xr:uid="{EA88908B-F538-408E-B307-FBF2E67594F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176D5-67FE-4245-B31E-904CFC38151D}">
  <dimension ref="A1:AV2"/>
  <sheetViews>
    <sheetView workbookViewId="0"/>
  </sheetViews>
  <sheetFormatPr defaultRowHeight="12.75" x14ac:dyDescent="0.2"/>
  <cols>
    <col min="1" max="1" width="5" bestFit="1" customWidth="1"/>
  </cols>
  <sheetData>
    <row r="1" spans="1:48" x14ac:dyDescent="0.2">
      <c r="A1" s="17" t="s">
        <v>20</v>
      </c>
    </row>
    <row r="2" spans="1:48" s="14" customFormat="1" ht="12.95" customHeight="1" x14ac:dyDescent="0.2">
      <c r="A2" s="1"/>
      <c r="B2" s="2" t="s">
        <v>0</v>
      </c>
      <c r="C2" s="3" t="s">
        <v>1</v>
      </c>
      <c r="D2" s="3" t="s">
        <v>2</v>
      </c>
      <c r="E2" s="2" t="s">
        <v>3</v>
      </c>
      <c r="F2" s="4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6" t="s">
        <v>9</v>
      </c>
      <c r="L2" s="7" t="s">
        <v>10</v>
      </c>
      <c r="M2" s="8" t="s">
        <v>11</v>
      </c>
      <c r="N2" s="5" t="s">
        <v>12</v>
      </c>
      <c r="O2" s="9">
        <v>2024</v>
      </c>
      <c r="P2" s="9">
        <v>2025</v>
      </c>
      <c r="Q2" s="9">
        <v>2026</v>
      </c>
      <c r="R2" s="10" t="s">
        <v>13</v>
      </c>
      <c r="S2" s="10">
        <v>2024</v>
      </c>
      <c r="T2" s="10">
        <v>2025</v>
      </c>
      <c r="U2" s="10">
        <v>2026</v>
      </c>
      <c r="V2" s="5" t="s">
        <v>14</v>
      </c>
      <c r="W2" s="10" t="s">
        <v>15</v>
      </c>
      <c r="X2" s="8" t="s">
        <v>16</v>
      </c>
      <c r="Y2" s="11" t="s">
        <v>17</v>
      </c>
      <c r="Z2" s="8" t="s">
        <v>18</v>
      </c>
      <c r="AA2" s="2" t="s">
        <v>19</v>
      </c>
      <c r="AB2" s="12"/>
      <c r="AC2" s="13"/>
      <c r="AI2" s="15"/>
      <c r="AJ2" s="15"/>
      <c r="AK2" s="13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</row>
  </sheetData>
  <hyperlinks>
    <hyperlink ref="A1" location="Main!A1" display="Main" xr:uid="{6DB3EF15-798F-4699-A3C0-3576A96EB22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E1955-3523-4F94-9191-EA4F3A8C889B}">
  <dimension ref="A1:AV2"/>
  <sheetViews>
    <sheetView workbookViewId="0"/>
  </sheetViews>
  <sheetFormatPr defaultRowHeight="12.75" x14ac:dyDescent="0.2"/>
  <cols>
    <col min="1" max="1" width="5" bestFit="1" customWidth="1"/>
  </cols>
  <sheetData>
    <row r="1" spans="1:48" x14ac:dyDescent="0.2">
      <c r="A1" s="17" t="s">
        <v>20</v>
      </c>
    </row>
    <row r="2" spans="1:48" s="14" customFormat="1" ht="12.95" customHeight="1" x14ac:dyDescent="0.2">
      <c r="A2" s="1"/>
      <c r="B2" s="2" t="s">
        <v>0</v>
      </c>
      <c r="C2" s="3" t="s">
        <v>1</v>
      </c>
      <c r="D2" s="3" t="s">
        <v>2</v>
      </c>
      <c r="E2" s="2" t="s">
        <v>3</v>
      </c>
      <c r="F2" s="4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6" t="s">
        <v>9</v>
      </c>
      <c r="L2" s="7" t="s">
        <v>10</v>
      </c>
      <c r="M2" s="8" t="s">
        <v>11</v>
      </c>
      <c r="N2" s="5" t="s">
        <v>12</v>
      </c>
      <c r="O2" s="9">
        <v>2024</v>
      </c>
      <c r="P2" s="9">
        <v>2025</v>
      </c>
      <c r="Q2" s="9">
        <v>2026</v>
      </c>
      <c r="R2" s="10" t="s">
        <v>13</v>
      </c>
      <c r="S2" s="10">
        <v>2024</v>
      </c>
      <c r="T2" s="10">
        <v>2025</v>
      </c>
      <c r="U2" s="10">
        <v>2026</v>
      </c>
      <c r="V2" s="5" t="s">
        <v>14</v>
      </c>
      <c r="W2" s="10" t="s">
        <v>15</v>
      </c>
      <c r="X2" s="8" t="s">
        <v>16</v>
      </c>
      <c r="Y2" s="11" t="s">
        <v>17</v>
      </c>
      <c r="Z2" s="8" t="s">
        <v>18</v>
      </c>
      <c r="AA2" s="2" t="s">
        <v>19</v>
      </c>
      <c r="AB2" s="12"/>
      <c r="AC2" s="13"/>
      <c r="AI2" s="15"/>
      <c r="AJ2" s="15"/>
      <c r="AK2" s="13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</row>
  </sheetData>
  <hyperlinks>
    <hyperlink ref="A1" location="Main!A1" display="Main" xr:uid="{3C022E05-CDE3-4A6B-8445-02F97F8EA2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Financials</vt:lpstr>
      <vt:lpstr>Multi-Sector Holdings</vt:lpstr>
      <vt:lpstr>Data Processing &amp; Outsourced Se</vt:lpstr>
      <vt:lpstr>Diversified Banks</vt:lpstr>
      <vt:lpstr>Consumer Finance</vt:lpstr>
      <vt:lpstr>Investment Banking &amp; Brokerage</vt:lpstr>
      <vt:lpstr>Property &amp; Casualty Insurance</vt:lpstr>
      <vt:lpstr>Asset Management &amp; Custody 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2025-04-29T15:01:12Z</dcterms:created>
  <dcterms:modified xsi:type="dcterms:W3CDTF">2025-04-30T19:51:25Z</dcterms:modified>
</cp:coreProperties>
</file>